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5080" tabRatio="222" activeTab="3"/>
  </bookViews>
  <sheets>
    <sheet name="My PF" sheetId="1" r:id="rId1"/>
    <sheet name="Ken PF" sheetId="2" r:id="rId2"/>
    <sheet name="Some PF" sheetId="3" r:id="rId3"/>
    <sheet name="T-28" sheetId="4" r:id="rId4"/>
  </sheets>
  <definedNames/>
  <calcPr fullCalcOnLoad="1"/>
</workbook>
</file>

<file path=xl/sharedStrings.xml><?xml version="1.0" encoding="utf-8"?>
<sst xmlns="http://schemas.openxmlformats.org/spreadsheetml/2006/main" count="346" uniqueCount="139">
  <si>
    <t>Related to</t>
  </si>
  <si>
    <r>
      <t xml:space="preserve">Ken's planes, Tom Hunt's planes and the FuntanaX 100 planes mentioned in the article are combined on the </t>
    </r>
    <r>
      <rPr>
        <b/>
        <sz val="10"/>
        <rFont val="Verdana"/>
        <family val="0"/>
      </rPr>
      <t>Some PF</t>
    </r>
    <r>
      <rPr>
        <sz val="10"/>
        <rFont val="Verdana"/>
        <family val="0"/>
      </rPr>
      <t xml:space="preserve"> worksheet</t>
    </r>
  </si>
  <si>
    <r>
      <t xml:space="preserve">Ken's Planes remain on the worksheet named </t>
    </r>
    <r>
      <rPr>
        <b/>
        <sz val="10"/>
        <rFont val="Verdana"/>
        <family val="0"/>
      </rPr>
      <t>Ken PF</t>
    </r>
  </si>
  <si>
    <t>FuntanaX 100 Glow 2-stroke</t>
  </si>
  <si>
    <t>FuntanaX 100 glow 4-stroke</t>
  </si>
  <si>
    <t>EasyStar, stock, 6-cell 600 NiCad or 2S A123 2.3Ah</t>
  </si>
  <si>
    <t>RC Dymond Flite 40 EMP 42-60 500Kv 6 A123 2.3Ah, 14x8.5</t>
  </si>
  <si>
    <t>Son of Swallow brushless, 3 A123 2.3Ah 10x7</t>
  </si>
  <si>
    <t>Sport Aviation Sonic 500, brushless/4S 4.0Ah Li-Po, 11x8.5</t>
  </si>
  <si>
    <t>Sportsman Aviation Sport Stik 40 ARF brushless/5S 4Ah Li-Po 10x7</t>
  </si>
  <si>
    <t>Area</t>
  </si>
  <si>
    <t>Weight</t>
  </si>
  <si>
    <t>Sq. in.</t>
  </si>
  <si>
    <t>oz.</t>
  </si>
  <si>
    <t>CWL</t>
  </si>
  <si>
    <t>oz./cu.ft.</t>
  </si>
  <si>
    <t>Prop Dia</t>
  </si>
  <si>
    <t>Pitch</t>
  </si>
  <si>
    <t>in</t>
  </si>
  <si>
    <t>Factor</t>
  </si>
  <si>
    <t>inches</t>
  </si>
  <si>
    <t>RPM</t>
  </si>
  <si>
    <t>Pitch/</t>
  </si>
  <si>
    <t>Dia.</t>
  </si>
  <si>
    <t>Speed</t>
  </si>
  <si>
    <t>Stall</t>
  </si>
  <si>
    <t>Pitch/Stall</t>
  </si>
  <si>
    <t>Performance</t>
  </si>
  <si>
    <t>ratio</t>
  </si>
  <si>
    <t>Senior Skyvolt, mine, AF25 Geared 14 NiCads</t>
  </si>
  <si>
    <t>Some of Ken's Planes</t>
  </si>
  <si>
    <t>TigerShark my low-wing sport plane (AF 035 w/Nicads)</t>
  </si>
  <si>
    <t>Parkzone T-28 w/3S A123</t>
  </si>
  <si>
    <t>Parkzone T-28 Stock w/3S 1800mAh Li-Po</t>
  </si>
  <si>
    <t>Turnigy 35-36C 1100Kv</t>
  </si>
  <si>
    <t>APC 11x8E</t>
  </si>
  <si>
    <t>APC 11x8.5E</t>
  </si>
  <si>
    <t>Drive Calculator based T-28 What ifs using 3S "A123" except for stock w/Li-Po for comparison</t>
  </si>
  <si>
    <t>AXI 2814/16</t>
  </si>
  <si>
    <t>Stock T-28 480 motor w/3S A123</t>
  </si>
  <si>
    <t>Stock T-28 480 motor w/3S 1800mAh Li-Po</t>
  </si>
  <si>
    <t>Stock T-28 480 motor w/3S 123</t>
  </si>
  <si>
    <t>Amp draws in red box indicate stock ESC must be replaced with 30 amp ESC</t>
  </si>
  <si>
    <t>Suppo 2814-08</t>
  </si>
  <si>
    <t>MA 11x7 wood</t>
  </si>
  <si>
    <t>Best without going over 25 amps and not over 11" diameter</t>
  </si>
  <si>
    <t>Scorpion 3014-18</t>
  </si>
  <si>
    <t>Hacker A30-16M</t>
  </si>
  <si>
    <t>Sportsman Aviation Sport Stik 40 ARF brushless/4S 4Ah Li-Po, 11x8.5</t>
  </si>
  <si>
    <t>ElectroFlying Fusion,  AXI 4120/18 &amp; 16 3000 NiMH, 12x10</t>
  </si>
  <si>
    <t>Son of Swallow, Z3019-10, 3 K2 2.5Ah 10x7</t>
  </si>
  <si>
    <t>My Ryan STA conversion, brushless/ 4S 4Ah Li-Po,, 12x6</t>
  </si>
  <si>
    <t>TigerShark my low-wing sport design (AF 035 geared w/Nicads) 10x6</t>
  </si>
  <si>
    <t>SR Batteries Cutie Mag. Mayhem brushed 6  2.0Ah NiCads, 8.5x5</t>
  </si>
  <si>
    <t>SR Batteries X-250, brushed Turbo 450, 7 2.0Ah NiMH, 7x4</t>
  </si>
  <si>
    <t>E-250, my low-wing sport design, AF035 direct 6 2Ah NiCads, 7x4</t>
  </si>
  <si>
    <t>Goldberg Eaglet 50, brushed 035 geared 9-NiCads, 10x6</t>
  </si>
  <si>
    <t>Senior Skyvolt, AF25 Geared 14 NiCads, 12x8</t>
  </si>
  <si>
    <t>EasyStar, stock, 6-cell 600 NiCad or 2S A123 2.3Ah, 4.92x4.33</t>
  </si>
  <si>
    <t>SR Batteries Bantam recommended components, 9x4.7SF</t>
  </si>
  <si>
    <t>Sport Aviation Sonic 500 brushless/5S 4Ah Li-Po, 10x7</t>
  </si>
  <si>
    <t>Bill Griggs Rocket Speed 400 Racer, 7 NiCads 500mAh, 5.5x4.5</t>
  </si>
  <si>
    <t>SR Batteries Bantam recommended components</t>
  </si>
  <si>
    <t>ElectroFlying Fusion, brushless 5S 4.0Ah Li-Po 0r 6S A123 2.3Ah</t>
  </si>
  <si>
    <t>FuntanaX 100 electric</t>
  </si>
  <si>
    <t>Tom Hunt HET Extra 300 prop tests APC E</t>
  </si>
  <si>
    <t>Son of Swallow, Z3019-10, 3 K2 2.5Ah mine</t>
  </si>
  <si>
    <t>Tom Hunt HET Extra 300 prop tests Master Airscrew Scimitar</t>
  </si>
  <si>
    <t>Tom Hunt HET Extra 300 prop tests APC Glow</t>
  </si>
  <si>
    <t>Tom Hunt HET Extra 300 prop tests Zinger Wood</t>
  </si>
  <si>
    <t>Tom Hunt HET Extra 300 prop tests Master Airscrew Wood</t>
  </si>
  <si>
    <t>Tom Hunt Giles 3D prop APC 14x10E</t>
  </si>
  <si>
    <t>My Planes</t>
  </si>
  <si>
    <t>Senior Skyvolt, AF25 Geared 14 NiCads</t>
  </si>
  <si>
    <t>E-250, low-wing sport, AF035 direct 6 2.0Ah NiCads</t>
  </si>
  <si>
    <t>Goldberg Eaglet 50, brushed 035 geared 9-Nicads</t>
  </si>
  <si>
    <t>Ken's parkzone T-28</t>
  </si>
  <si>
    <t>T-28 Stock w/3S 1800mAh Li-Po</t>
  </si>
  <si>
    <t>PZ 9.5x7.5</t>
  </si>
  <si>
    <t>T-28 w/3S 123</t>
  </si>
  <si>
    <t>T-28 w/3S A123</t>
  </si>
  <si>
    <t>APC 12x8E</t>
  </si>
  <si>
    <t>APC 12x10E</t>
  </si>
  <si>
    <t>T-28 w/3S A123 &amp; AXI 2814/16 (what if)</t>
  </si>
  <si>
    <t>APC 10x7E</t>
  </si>
  <si>
    <t>APC 10x8 spt</t>
  </si>
  <si>
    <t>APC 11x7E</t>
  </si>
  <si>
    <t>MA 10x8 wood</t>
  </si>
  <si>
    <t>MA 10x7 wood</t>
  </si>
  <si>
    <t>GP Super Sportster EP Rich Seivert Midwest 11x8.5E (suggested)</t>
  </si>
  <si>
    <t>Some of Planes Compared to Ken's</t>
  </si>
  <si>
    <t>Along with the name, please be sure to include enough information about the power system so that I can tell whether it is glow or electric.</t>
  </si>
  <si>
    <t>the best</t>
  </si>
  <si>
    <t>SR Batteries X-250, brushed Turbo 450, 7 2.0Ah NiMH</t>
  </si>
  <si>
    <t>SR Batteries Cutie Mag. Mayhem 6  2.0Ah NiCads</t>
  </si>
  <si>
    <t>TigerShark low-wing sport plane (AF 035 w/Nicads)</t>
  </si>
  <si>
    <t>RC Dymond Flite 40 w/TP 3520-7, 6 A123 2.3Ah</t>
  </si>
  <si>
    <t>Son of Swallow brushless, 3 A123 2.3Ah</t>
  </si>
  <si>
    <t>Replace Ken's planes with your planes. Type only in the green cells.</t>
  </si>
  <si>
    <t>Ken Myers email address:</t>
  </si>
  <si>
    <t>kmyersefo@aol.com</t>
  </si>
  <si>
    <t>Arthur Dean's Planes</t>
  </si>
  <si>
    <t>Sparrow Hawk TowerPro 3520-6 730Kv 5 A123 M1</t>
  </si>
  <si>
    <t>sport</t>
  </si>
  <si>
    <t>Prop Notes</t>
  </si>
  <si>
    <t>APC E</t>
  </si>
  <si>
    <t>APC sport</t>
  </si>
  <si>
    <t>MA wood</t>
  </si>
  <si>
    <t>Aeronaut E</t>
  </si>
  <si>
    <t>Amp</t>
  </si>
  <si>
    <t>Draw</t>
  </si>
  <si>
    <t>Watts in</t>
  </si>
  <si>
    <t>per lb.</t>
  </si>
  <si>
    <t>4 Star 40 TowerPro 3520-6 730Kv 5 A123 M1</t>
  </si>
  <si>
    <t>4 Star 40 TowerPro 3520-7 610Kv 6 A123 M1</t>
  </si>
  <si>
    <t>APC pattern</t>
  </si>
  <si>
    <t>Thanks for downloading this spreadsheet and at least taking the time to look at it.</t>
  </si>
  <si>
    <t>If you can help by filling in information for me, it is very much appreciated!</t>
  </si>
  <si>
    <t>GP Super Sportster EP Rich Seivert Midwest 11x8E</t>
  </si>
  <si>
    <t>MA 11x8 wood</t>
  </si>
  <si>
    <t>RC Dymond Flite 40 EMP 42-60 500Kv</t>
  </si>
  <si>
    <t>RC Dymond Flite 40 EMP 42-60 500Kv 6 A123 2.3Ah mine (proposed)</t>
  </si>
  <si>
    <t>SR Batteries Cutie (mine) Mag. Mayhem 6  2.0Ah NiCads</t>
  </si>
  <si>
    <t>Goldberg Eaglet 50, brushed 035 geared 9-Nicads mine</t>
  </si>
  <si>
    <t>SR Batteries X-250, brushed Turbo 450, 7 2.0Ah NiMH, mine</t>
  </si>
  <si>
    <t>E-250, my low-wing sport, AF035 direct 6 2.0Ah NiCads</t>
  </si>
  <si>
    <t>RC Dymond Flite 40 w/TP 3520-7, 6 A123 2.3Ah mine</t>
  </si>
  <si>
    <t>Son of Swallow brushless, 3 A123 2.3Ah mine</t>
  </si>
  <si>
    <t>My Ryan STA conversion, brushless/ 4S 4.0Ah Li-Po</t>
  </si>
  <si>
    <t>ElectroFlying Fusion, mine w/brushless &amp; 16 3000 NiMH</t>
  </si>
  <si>
    <t>Sportsman Aviation Sport Stik 40 ARF brushless/4S 4.0Ah Li-Po</t>
  </si>
  <si>
    <t>Sport Aviation Sonic 500, brushless/4S 4.0Ah Li-Po</t>
  </si>
  <si>
    <t>Sportsman Aviation Sport Stik 40 ARF brushless/5S 4.0Ah Li-Po</t>
  </si>
  <si>
    <t>Sport Aviation Sonic 500 brushless/5S 4.0Ah Li-Po</t>
  </si>
  <si>
    <t>Bill Griggs Rocket Speed 400 Racer 7 NiCads 500mAh</t>
  </si>
  <si>
    <t>RC Dymond Flite 40 EMP 42-60 500Kv brushless, 13x9</t>
  </si>
  <si>
    <t>ElectroFlying Fusion, AXI 4120/18 &amp; 5S 4.0Ah Li-Po/6S A123 2.3Ah, 12x10</t>
  </si>
  <si>
    <t>RC Dymond Flite 40 w/TP 3520-7, 6 A123 2.3Ah 12x7</t>
  </si>
  <si>
    <t>Son of Swallow, Z3019-10, 3 K2 2.5Ah 10x8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</si>
</sst>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10"/>
      <color indexed="9"/>
      <name val="Verdana"/>
      <family val="0"/>
    </font>
    <font>
      <sz val="10"/>
      <color indexed="10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right"/>
    </xf>
    <xf numFmtId="2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2" fontId="7" fillId="3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" fontId="7" fillId="2" borderId="0" xfId="0" applyNumberFormat="1" applyFont="1" applyFill="1" applyAlignment="1">
      <alignment/>
    </xf>
    <xf numFmtId="0" fontId="5" fillId="0" borderId="0" xfId="20" applyAlignment="1">
      <alignment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/>
    </xf>
    <xf numFmtId="2" fontId="1" fillId="4" borderId="0" xfId="0" applyNumberFormat="1" applyFont="1" applyFill="1" applyAlignment="1">
      <alignment/>
    </xf>
    <xf numFmtId="2" fontId="1" fillId="4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5" borderId="0" xfId="0" applyFont="1" applyFill="1" applyAlignment="1">
      <alignment/>
    </xf>
    <xf numFmtId="2" fontId="7" fillId="5" borderId="0" xfId="0" applyNumberFormat="1" applyFont="1" applyFill="1" applyAlignment="1">
      <alignment/>
    </xf>
    <xf numFmtId="2" fontId="7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6" borderId="0" xfId="0" applyFont="1" applyFill="1" applyAlignment="1">
      <alignment horizontal="left"/>
    </xf>
    <xf numFmtId="0" fontId="0" fillId="6" borderId="0" xfId="0" applyFont="1" applyFill="1" applyAlignment="1">
      <alignment horizontal="right"/>
    </xf>
    <xf numFmtId="2" fontId="0" fillId="6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2" fontId="0" fillId="6" borderId="0" xfId="0" applyNumberFormat="1" applyFont="1" applyFill="1" applyAlignment="1">
      <alignment horizontal="center"/>
    </xf>
    <xf numFmtId="0" fontId="0" fillId="6" borderId="0" xfId="0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0" fontId="1" fillId="4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2" fontId="0" fillId="6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2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" fontId="7" fillId="3" borderId="0" xfId="0" applyNumberFormat="1" applyFont="1" applyFill="1" applyAlignment="1">
      <alignment horizontal="center"/>
    </xf>
    <xf numFmtId="0" fontId="1" fillId="7" borderId="0" xfId="0" applyFont="1" applyFill="1" applyAlignment="1">
      <alignment/>
    </xf>
    <xf numFmtId="2" fontId="1" fillId="7" borderId="0" xfId="0" applyNumberFormat="1" applyFont="1" applyFill="1" applyAlignment="1">
      <alignment/>
    </xf>
    <xf numFmtId="2" fontId="1" fillId="7" borderId="0" xfId="0" applyNumberFormat="1" applyFont="1" applyFill="1" applyAlignment="1">
      <alignment horizontal="right"/>
    </xf>
    <xf numFmtId="2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myersefo@ao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L3" sqref="L3:L19"/>
    </sheetView>
  </sheetViews>
  <sheetFormatPr defaultColWidth="11.00390625" defaultRowHeight="12.75"/>
  <cols>
    <col min="1" max="1" width="55.125" style="0" bestFit="1" customWidth="1"/>
    <col min="2" max="2" width="7.00390625" style="0" customWidth="1"/>
    <col min="3" max="3" width="6.625" style="0" bestFit="1" customWidth="1"/>
    <col min="4" max="4" width="8.125" style="0" bestFit="1" customWidth="1"/>
    <col min="5" max="5" width="7.75390625" style="0" bestFit="1" customWidth="1"/>
    <col min="6" max="7" width="6.00390625" style="0" bestFit="1" customWidth="1"/>
    <col min="8" max="8" width="5.375" style="0" bestFit="1" customWidth="1"/>
    <col min="9" max="10" width="6.00390625" style="0" bestFit="1" customWidth="1"/>
    <col min="11" max="11" width="8.875" style="0" bestFit="1" customWidth="1"/>
    <col min="12" max="12" width="6.00390625" style="0" bestFit="1" customWidth="1"/>
    <col min="13" max="13" width="8.875" style="0" bestFit="1" customWidth="1"/>
    <col min="14" max="15" width="8.875" style="0" customWidth="1"/>
  </cols>
  <sheetData>
    <row r="1" spans="2:12" ht="12.75">
      <c r="B1" t="s">
        <v>10</v>
      </c>
      <c r="C1" t="s">
        <v>11</v>
      </c>
      <c r="D1" s="4" t="s">
        <v>14</v>
      </c>
      <c r="E1" s="4" t="s">
        <v>16</v>
      </c>
      <c r="F1" s="4" t="s">
        <v>17</v>
      </c>
      <c r="G1" s="4"/>
      <c r="H1" s="4" t="s">
        <v>22</v>
      </c>
      <c r="I1" s="4" t="s">
        <v>17</v>
      </c>
      <c r="J1" s="4" t="s">
        <v>25</v>
      </c>
      <c r="K1" s="4" t="s">
        <v>26</v>
      </c>
      <c r="L1" s="4" t="s">
        <v>27</v>
      </c>
    </row>
    <row r="2" spans="1:12" ht="12.75">
      <c r="A2" s="1" t="s">
        <v>72</v>
      </c>
      <c r="B2" t="s">
        <v>12</v>
      </c>
      <c r="C2" t="s">
        <v>13</v>
      </c>
      <c r="D2" s="4" t="s">
        <v>15</v>
      </c>
      <c r="E2" s="4" t="s">
        <v>18</v>
      </c>
      <c r="F2" s="4" t="s">
        <v>20</v>
      </c>
      <c r="G2" s="4" t="s">
        <v>21</v>
      </c>
      <c r="H2" s="4" t="s">
        <v>23</v>
      </c>
      <c r="I2" s="4" t="s">
        <v>24</v>
      </c>
      <c r="J2" s="4" t="s">
        <v>24</v>
      </c>
      <c r="K2" s="4" t="s">
        <v>28</v>
      </c>
      <c r="L2" s="4" t="s">
        <v>19</v>
      </c>
    </row>
    <row r="3" spans="1:12" ht="12.75">
      <c r="A3" s="7" t="s">
        <v>62</v>
      </c>
      <c r="B3" s="8">
        <v>210</v>
      </c>
      <c r="C3" s="8">
        <v>8.3</v>
      </c>
      <c r="D3" s="5">
        <f aca="true" t="shared" si="0" ref="D3:D19">C3/((B3/144)^1.5)</f>
        <v>4.712950608719897</v>
      </c>
      <c r="E3" s="9">
        <v>9</v>
      </c>
      <c r="F3" s="9">
        <v>4.7</v>
      </c>
      <c r="G3" s="8">
        <v>3750</v>
      </c>
      <c r="H3" s="4">
        <f>F3/E3</f>
        <v>0.5222222222222223</v>
      </c>
      <c r="I3" s="4">
        <f>(F3*G3)/1056</f>
        <v>16.69034090909091</v>
      </c>
      <c r="J3" s="5">
        <f>SQRT(C3/(B3/144))*3.7</f>
        <v>8.826984600805485</v>
      </c>
      <c r="K3" s="6">
        <f>I3/J3</f>
        <v>1.8908315425822624</v>
      </c>
      <c r="L3" s="6">
        <f>K3^2*((F3*E3^3*G3^2*10^-10*(E3/F3)*0.5)/C3)</f>
        <v>1.9871477633209322</v>
      </c>
    </row>
    <row r="4" spans="1:12" ht="12.75">
      <c r="A4" s="7" t="s">
        <v>5</v>
      </c>
      <c r="B4" s="8">
        <v>372</v>
      </c>
      <c r="C4" s="8">
        <v>21.16</v>
      </c>
      <c r="D4" s="5">
        <f t="shared" si="0"/>
        <v>5.096182728889346</v>
      </c>
      <c r="E4" s="9">
        <v>4.92</v>
      </c>
      <c r="F4" s="9">
        <v>4.33</v>
      </c>
      <c r="G4" s="8">
        <v>11600</v>
      </c>
      <c r="H4" s="4">
        <f aca="true" t="shared" si="1" ref="H4:H19">F4/E4</f>
        <v>0.8800813008130082</v>
      </c>
      <c r="I4" s="4">
        <f aca="true" t="shared" si="2" ref="I4:I19">(F4*G4)/1056</f>
        <v>47.56439393939394</v>
      </c>
      <c r="J4" s="5">
        <f aca="true" t="shared" si="3" ref="J4:J19">SQRT(C4/(B4/144))*3.7</f>
        <v>10.589350706587103</v>
      </c>
      <c r="K4" s="6">
        <f aca="true" t="shared" si="4" ref="K4:K19">I4/J4</f>
        <v>4.491719582939728</v>
      </c>
      <c r="L4" s="6">
        <f aca="true" t="shared" si="5" ref="L4:L19">K4^2*((F4*E4^3*G4^2*10^-10*(E4/F4)*0.5)/C4)</f>
        <v>3.7588587102100126</v>
      </c>
    </row>
    <row r="5" spans="1:12" ht="12.75">
      <c r="A5" s="8" t="s">
        <v>73</v>
      </c>
      <c r="B5" s="8">
        <v>580</v>
      </c>
      <c r="C5" s="8">
        <v>80</v>
      </c>
      <c r="D5" s="5">
        <f t="shared" si="0"/>
        <v>9.896730288776737</v>
      </c>
      <c r="E5" s="9">
        <v>12</v>
      </c>
      <c r="F5" s="9">
        <v>8</v>
      </c>
      <c r="G5" s="18">
        <v>6550</v>
      </c>
      <c r="H5" s="4">
        <f t="shared" si="1"/>
        <v>0.6666666666666666</v>
      </c>
      <c r="I5" s="4">
        <f t="shared" si="2"/>
        <v>49.621212121212125</v>
      </c>
      <c r="J5" s="5">
        <f t="shared" si="3"/>
        <v>16.489746030122205</v>
      </c>
      <c r="K5" s="6">
        <f t="shared" si="4"/>
        <v>3.0092162748030136</v>
      </c>
      <c r="L5" s="6">
        <f t="shared" si="5"/>
        <v>5.034941227502317</v>
      </c>
    </row>
    <row r="6" spans="1:12" ht="12.75">
      <c r="A6" s="8" t="s">
        <v>75</v>
      </c>
      <c r="B6" s="8">
        <v>450</v>
      </c>
      <c r="C6" s="8">
        <v>56</v>
      </c>
      <c r="D6" s="5">
        <f t="shared" si="0"/>
        <v>10.137082815090345</v>
      </c>
      <c r="E6" s="9">
        <v>10</v>
      </c>
      <c r="F6" s="9">
        <v>6</v>
      </c>
      <c r="G6" s="8">
        <v>8500</v>
      </c>
      <c r="H6" s="4">
        <f t="shared" si="1"/>
        <v>0.6</v>
      </c>
      <c r="I6" s="4">
        <f t="shared" si="2"/>
        <v>48.29545454545455</v>
      </c>
      <c r="J6" s="5">
        <f t="shared" si="3"/>
        <v>15.662847761502379</v>
      </c>
      <c r="K6" s="6">
        <f t="shared" si="4"/>
        <v>3.083440207096928</v>
      </c>
      <c r="L6" s="6">
        <f t="shared" si="5"/>
        <v>6.133253157599157</v>
      </c>
    </row>
    <row r="7" spans="1:12" ht="12.75">
      <c r="A7" s="8" t="s">
        <v>74</v>
      </c>
      <c r="B7" s="8">
        <v>250</v>
      </c>
      <c r="C7" s="8">
        <v>34</v>
      </c>
      <c r="D7" s="5">
        <f t="shared" si="0"/>
        <v>14.863210967217007</v>
      </c>
      <c r="E7" s="9">
        <v>7</v>
      </c>
      <c r="F7" s="9">
        <v>4</v>
      </c>
      <c r="G7" s="8">
        <v>13500</v>
      </c>
      <c r="H7" s="4">
        <f t="shared" si="1"/>
        <v>0.5714285714285714</v>
      </c>
      <c r="I7" s="4">
        <f t="shared" si="2"/>
        <v>51.13636363636363</v>
      </c>
      <c r="J7" s="5">
        <f t="shared" si="3"/>
        <v>16.37391095615217</v>
      </c>
      <c r="K7" s="6">
        <f t="shared" si="4"/>
        <v>3.123039069486949</v>
      </c>
      <c r="L7" s="6">
        <f t="shared" si="5"/>
        <v>6.276327816700388</v>
      </c>
    </row>
    <row r="8" spans="1:12" ht="12.75">
      <c r="A8" s="7" t="s">
        <v>93</v>
      </c>
      <c r="B8" s="8">
        <v>282</v>
      </c>
      <c r="C8" s="8">
        <v>30.8</v>
      </c>
      <c r="D8" s="5">
        <f t="shared" si="0"/>
        <v>11.238821980148066</v>
      </c>
      <c r="E8" s="9">
        <v>7</v>
      </c>
      <c r="F8" s="9">
        <v>4</v>
      </c>
      <c r="G8" s="8">
        <v>12875</v>
      </c>
      <c r="H8" s="4">
        <f t="shared" si="1"/>
        <v>0.5714285714285714</v>
      </c>
      <c r="I8" s="4">
        <f t="shared" si="2"/>
        <v>48.76893939393939</v>
      </c>
      <c r="J8" s="5">
        <f t="shared" si="3"/>
        <v>14.673501953333025</v>
      </c>
      <c r="K8" s="6">
        <f t="shared" si="4"/>
        <v>3.3236060177755813</v>
      </c>
      <c r="L8" s="6">
        <f t="shared" si="5"/>
        <v>7.137152830997219</v>
      </c>
    </row>
    <row r="9" spans="1:12" ht="12.75">
      <c r="A9" s="7" t="s">
        <v>94</v>
      </c>
      <c r="B9" s="8">
        <v>360</v>
      </c>
      <c r="C9" s="8">
        <v>37.6</v>
      </c>
      <c r="D9" s="5">
        <f t="shared" si="0"/>
        <v>9.512131201786485</v>
      </c>
      <c r="E9" s="9">
        <v>8.5</v>
      </c>
      <c r="F9" s="9">
        <v>5</v>
      </c>
      <c r="G9" s="8">
        <v>9900</v>
      </c>
      <c r="H9" s="4">
        <f t="shared" si="1"/>
        <v>0.5882352941176471</v>
      </c>
      <c r="I9" s="4">
        <f t="shared" si="2"/>
        <v>46.875</v>
      </c>
      <c r="J9" s="5">
        <f t="shared" si="3"/>
        <v>14.349132377952335</v>
      </c>
      <c r="K9" s="6">
        <f t="shared" si="4"/>
        <v>3.266748035025739</v>
      </c>
      <c r="L9" s="6">
        <f t="shared" si="5"/>
        <v>7.260382955182659</v>
      </c>
    </row>
    <row r="10" spans="1:12" ht="12.75">
      <c r="A10" s="8" t="s">
        <v>95</v>
      </c>
      <c r="B10" s="8">
        <v>486</v>
      </c>
      <c r="C10" s="8">
        <v>58.6</v>
      </c>
      <c r="D10" s="5">
        <f t="shared" si="0"/>
        <v>9.451199929355997</v>
      </c>
      <c r="E10" s="9">
        <v>10</v>
      </c>
      <c r="F10" s="9">
        <v>6</v>
      </c>
      <c r="G10" s="8">
        <v>9000</v>
      </c>
      <c r="H10" s="4">
        <f t="shared" si="1"/>
        <v>0.6</v>
      </c>
      <c r="I10" s="4">
        <f t="shared" si="2"/>
        <v>51.13636363636363</v>
      </c>
      <c r="J10" s="5">
        <f t="shared" si="3"/>
        <v>15.417488866964135</v>
      </c>
      <c r="K10" s="6">
        <f t="shared" si="4"/>
        <v>3.3167764269274884</v>
      </c>
      <c r="L10" s="6">
        <f t="shared" si="5"/>
        <v>7.603084259078259</v>
      </c>
    </row>
    <row r="11" spans="1:12" ht="12.75">
      <c r="A11" s="7" t="s">
        <v>128</v>
      </c>
      <c r="B11" s="8">
        <v>460</v>
      </c>
      <c r="C11" s="8">
        <v>71</v>
      </c>
      <c r="D11" s="5">
        <f t="shared" si="0"/>
        <v>12.435559773194308</v>
      </c>
      <c r="E11" s="9">
        <v>12</v>
      </c>
      <c r="F11" s="9">
        <v>6</v>
      </c>
      <c r="G11" s="8">
        <v>8550</v>
      </c>
      <c r="H11" s="4">
        <f t="shared" si="1"/>
        <v>0.5</v>
      </c>
      <c r="I11" s="4">
        <f t="shared" si="2"/>
        <v>48.57954545454545</v>
      </c>
      <c r="J11" s="5">
        <f t="shared" si="3"/>
        <v>17.44348389613676</v>
      </c>
      <c r="K11" s="6">
        <f t="shared" si="4"/>
        <v>2.7849680570579394</v>
      </c>
      <c r="L11" s="6">
        <f t="shared" si="5"/>
        <v>8.279599045951455</v>
      </c>
    </row>
    <row r="12" spans="1:12" ht="12.75">
      <c r="A12" s="7" t="s">
        <v>129</v>
      </c>
      <c r="B12" s="8">
        <v>569</v>
      </c>
      <c r="C12" s="8">
        <v>92.8</v>
      </c>
      <c r="D12" s="5">
        <f t="shared" si="0"/>
        <v>11.814716766272763</v>
      </c>
      <c r="E12" s="9">
        <v>12</v>
      </c>
      <c r="F12" s="9">
        <v>10</v>
      </c>
      <c r="G12" s="8">
        <v>7700</v>
      </c>
      <c r="H12" s="4">
        <f t="shared" si="1"/>
        <v>0.8333333333333334</v>
      </c>
      <c r="I12" s="4">
        <f t="shared" si="2"/>
        <v>72.91666666666667</v>
      </c>
      <c r="J12" s="5">
        <f t="shared" si="3"/>
        <v>17.93084783389172</v>
      </c>
      <c r="K12" s="6">
        <f t="shared" si="4"/>
        <v>4.066548740034721</v>
      </c>
      <c r="L12" s="6">
        <f t="shared" si="5"/>
        <v>10.954193961769022</v>
      </c>
    </row>
    <row r="13" spans="1:12" ht="12.75">
      <c r="A13" s="7" t="s">
        <v>130</v>
      </c>
      <c r="B13" s="8">
        <v>585</v>
      </c>
      <c r="C13" s="8">
        <v>79.88</v>
      </c>
      <c r="D13" s="5">
        <f t="shared" si="0"/>
        <v>9.755465451309265</v>
      </c>
      <c r="E13" s="9">
        <v>11</v>
      </c>
      <c r="F13" s="9">
        <v>8.5</v>
      </c>
      <c r="G13" s="8">
        <v>8610</v>
      </c>
      <c r="H13" s="4">
        <f t="shared" si="1"/>
        <v>0.7727272727272727</v>
      </c>
      <c r="I13" s="4">
        <f t="shared" si="2"/>
        <v>69.30397727272727</v>
      </c>
      <c r="J13" s="5">
        <f t="shared" si="3"/>
        <v>16.40680684256479</v>
      </c>
      <c r="K13" s="6">
        <f t="shared" si="4"/>
        <v>4.224099054602713</v>
      </c>
      <c r="L13" s="6">
        <f t="shared" si="5"/>
        <v>12.122080933669775</v>
      </c>
    </row>
    <row r="14" spans="1:12" ht="12.75">
      <c r="A14" s="7" t="s">
        <v>96</v>
      </c>
      <c r="B14" s="8">
        <v>615</v>
      </c>
      <c r="C14" s="8">
        <v>87.3</v>
      </c>
      <c r="D14" s="5">
        <f t="shared" si="0"/>
        <v>9.891116296510575</v>
      </c>
      <c r="E14" s="9">
        <v>12</v>
      </c>
      <c r="F14" s="9">
        <v>7</v>
      </c>
      <c r="G14" s="8">
        <v>9120</v>
      </c>
      <c r="H14" s="4">
        <f t="shared" si="1"/>
        <v>0.5833333333333334</v>
      </c>
      <c r="I14" s="4">
        <f t="shared" si="2"/>
        <v>60.45454545454545</v>
      </c>
      <c r="J14" s="5">
        <f t="shared" si="3"/>
        <v>16.72832795283381</v>
      </c>
      <c r="K14" s="6">
        <f t="shared" si="4"/>
        <v>3.6139024548657503</v>
      </c>
      <c r="L14" s="6">
        <f t="shared" si="5"/>
        <v>12.900996981158194</v>
      </c>
    </row>
    <row r="15" spans="1:12" ht="12.75">
      <c r="A15" s="7" t="s">
        <v>132</v>
      </c>
      <c r="B15" s="8">
        <v>585</v>
      </c>
      <c r="C15" s="8">
        <v>84</v>
      </c>
      <c r="D15" s="5">
        <f t="shared" si="0"/>
        <v>10.258626663870535</v>
      </c>
      <c r="E15" s="9">
        <v>10</v>
      </c>
      <c r="F15" s="9">
        <v>7</v>
      </c>
      <c r="G15" s="8">
        <v>11224</v>
      </c>
      <c r="H15" s="4">
        <f t="shared" si="1"/>
        <v>0.7</v>
      </c>
      <c r="I15" s="4">
        <f t="shared" si="2"/>
        <v>74.40151515151516</v>
      </c>
      <c r="J15" s="5">
        <f t="shared" si="3"/>
        <v>16.82459737774063</v>
      </c>
      <c r="K15" s="6">
        <f t="shared" si="4"/>
        <v>4.42218696121372</v>
      </c>
      <c r="L15" s="6">
        <f t="shared" si="5"/>
        <v>14.664262756520081</v>
      </c>
    </row>
    <row r="16" spans="1:12" ht="12.75">
      <c r="A16" s="7" t="s">
        <v>131</v>
      </c>
      <c r="B16" s="8">
        <v>512</v>
      </c>
      <c r="C16" s="8">
        <v>66</v>
      </c>
      <c r="D16" s="5">
        <f t="shared" si="0"/>
        <v>9.844252219331466</v>
      </c>
      <c r="E16" s="9">
        <v>11</v>
      </c>
      <c r="F16" s="9">
        <v>8.5</v>
      </c>
      <c r="G16" s="8">
        <v>8500</v>
      </c>
      <c r="H16" s="4">
        <f t="shared" si="1"/>
        <v>0.7727272727272727</v>
      </c>
      <c r="I16" s="4">
        <f t="shared" si="2"/>
        <v>68.41856060606061</v>
      </c>
      <c r="J16" s="5">
        <f t="shared" si="3"/>
        <v>15.94116134414303</v>
      </c>
      <c r="K16" s="6">
        <f t="shared" si="4"/>
        <v>4.2919432987985155</v>
      </c>
      <c r="L16" s="6">
        <f t="shared" si="5"/>
        <v>14.761912016221993</v>
      </c>
    </row>
    <row r="17" spans="1:12" ht="12.75">
      <c r="A17" s="7" t="s">
        <v>97</v>
      </c>
      <c r="B17" s="8">
        <v>415</v>
      </c>
      <c r="C17" s="8">
        <v>40.8</v>
      </c>
      <c r="D17" s="5">
        <f t="shared" si="0"/>
        <v>8.339341450040683</v>
      </c>
      <c r="E17" s="9">
        <v>10</v>
      </c>
      <c r="F17" s="9">
        <v>7</v>
      </c>
      <c r="G17" s="8">
        <v>8587</v>
      </c>
      <c r="H17" s="4">
        <f t="shared" si="1"/>
        <v>0.7</v>
      </c>
      <c r="I17" s="4">
        <f t="shared" si="2"/>
        <v>56.921401515151516</v>
      </c>
      <c r="J17" s="5">
        <f t="shared" si="3"/>
        <v>13.921595255495374</v>
      </c>
      <c r="K17" s="6">
        <f t="shared" si="4"/>
        <v>4.088712569968051</v>
      </c>
      <c r="L17" s="6">
        <f t="shared" si="5"/>
        <v>15.106572171534596</v>
      </c>
    </row>
    <row r="18" spans="1:12" ht="12.75">
      <c r="A18" s="7" t="s">
        <v>63</v>
      </c>
      <c r="B18" s="8">
        <v>569</v>
      </c>
      <c r="C18" s="8">
        <v>73.9</v>
      </c>
      <c r="D18" s="5">
        <f t="shared" si="0"/>
        <v>9.408486735210747</v>
      </c>
      <c r="E18" s="9">
        <v>12</v>
      </c>
      <c r="F18" s="9">
        <v>10</v>
      </c>
      <c r="G18" s="8">
        <v>7800</v>
      </c>
      <c r="H18" s="4">
        <f t="shared" si="1"/>
        <v>0.8333333333333334</v>
      </c>
      <c r="I18" s="4">
        <f t="shared" si="2"/>
        <v>73.86363636363636</v>
      </c>
      <c r="J18" s="5">
        <f t="shared" si="3"/>
        <v>16.00107114164988</v>
      </c>
      <c r="K18" s="6">
        <f t="shared" si="4"/>
        <v>4.616168237098422</v>
      </c>
      <c r="L18" s="6">
        <f t="shared" si="5"/>
        <v>18.1887566401194</v>
      </c>
    </row>
    <row r="19" spans="1:12" ht="12.75">
      <c r="A19" s="7" t="s">
        <v>133</v>
      </c>
      <c r="B19" s="8">
        <v>512</v>
      </c>
      <c r="C19" s="8">
        <v>69.8</v>
      </c>
      <c r="D19" s="5">
        <f t="shared" si="0"/>
        <v>10.411042498626307</v>
      </c>
      <c r="E19" s="9">
        <v>10</v>
      </c>
      <c r="F19" s="9">
        <v>7</v>
      </c>
      <c r="G19" s="8">
        <v>11280</v>
      </c>
      <c r="H19" s="4">
        <f t="shared" si="1"/>
        <v>0.7</v>
      </c>
      <c r="I19" s="4">
        <f t="shared" si="2"/>
        <v>74.77272727272727</v>
      </c>
      <c r="J19" s="5">
        <f t="shared" si="3"/>
        <v>16.393651591393542</v>
      </c>
      <c r="K19" s="6">
        <f t="shared" si="4"/>
        <v>4.561078223230143</v>
      </c>
      <c r="L19" s="6">
        <f t="shared" si="5"/>
        <v>18.961287447841023</v>
      </c>
    </row>
    <row r="20" spans="1:12" ht="12.75">
      <c r="A20" s="1"/>
      <c r="D20" s="4"/>
      <c r="E20" s="4"/>
      <c r="F20" s="4"/>
      <c r="G20" s="4"/>
      <c r="H20" s="4"/>
      <c r="I20" s="4"/>
      <c r="J20" s="4"/>
      <c r="K20" s="4"/>
      <c r="L20" s="4"/>
    </row>
    <row r="22" ht="12.75">
      <c r="A22" s="17" t="s">
        <v>98</v>
      </c>
    </row>
    <row r="23" spans="1:2" ht="12.75">
      <c r="A23" s="20" t="s">
        <v>99</v>
      </c>
      <c r="B23" s="19" t="s">
        <v>100</v>
      </c>
    </row>
    <row r="25" ht="12.75">
      <c r="A25" t="s">
        <v>116</v>
      </c>
    </row>
    <row r="26" ht="12.75">
      <c r="A26" t="s">
        <v>117</v>
      </c>
    </row>
    <row r="28" ht="12.75">
      <c r="A28" t="s">
        <v>2</v>
      </c>
    </row>
    <row r="29" ht="12.75">
      <c r="A29" t="s">
        <v>1</v>
      </c>
    </row>
    <row r="31" ht="12.75">
      <c r="A31" t="s">
        <v>91</v>
      </c>
    </row>
  </sheetData>
  <hyperlinks>
    <hyperlink ref="B23" r:id="rId1" display="kmyersefo@aol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L12" sqref="L12"/>
    </sheetView>
  </sheetViews>
  <sheetFormatPr defaultColWidth="11.00390625" defaultRowHeight="12.75"/>
  <cols>
    <col min="1" max="1" width="60.00390625" style="0" bestFit="1" customWidth="1"/>
    <col min="2" max="2" width="6.125" style="0" customWidth="1"/>
    <col min="3" max="3" width="6.625" style="0" customWidth="1"/>
    <col min="4" max="4" width="8.125" style="0" customWidth="1"/>
    <col min="5" max="5" width="7.75390625" style="0" customWidth="1"/>
    <col min="6" max="7" width="6.00390625" style="0" customWidth="1"/>
    <col min="8" max="8" width="5.375" style="0" customWidth="1"/>
    <col min="9" max="10" width="6.00390625" style="0" customWidth="1"/>
    <col min="11" max="11" width="8.875" style="0" customWidth="1"/>
    <col min="13" max="13" width="9.25390625" style="0" bestFit="1" customWidth="1"/>
  </cols>
  <sheetData>
    <row r="1" spans="2:13" ht="12.75">
      <c r="B1" t="s">
        <v>10</v>
      </c>
      <c r="C1" t="s">
        <v>11</v>
      </c>
      <c r="D1" s="4" t="s">
        <v>14</v>
      </c>
      <c r="E1" s="4" t="s">
        <v>16</v>
      </c>
      <c r="F1" s="4" t="s">
        <v>17</v>
      </c>
      <c r="G1" s="4"/>
      <c r="H1" s="4" t="s">
        <v>22</v>
      </c>
      <c r="I1" s="4" t="s">
        <v>17</v>
      </c>
      <c r="J1" s="4" t="s">
        <v>25</v>
      </c>
      <c r="K1" s="4" t="s">
        <v>26</v>
      </c>
      <c r="L1" s="4" t="s">
        <v>27</v>
      </c>
      <c r="M1" s="4" t="s">
        <v>0</v>
      </c>
    </row>
    <row r="2" spans="1:13" ht="12.75">
      <c r="A2" s="1" t="s">
        <v>30</v>
      </c>
      <c r="B2" t="s">
        <v>12</v>
      </c>
      <c r="C2" t="s">
        <v>13</v>
      </c>
      <c r="D2" s="4" t="s">
        <v>15</v>
      </c>
      <c r="E2" s="4" t="s">
        <v>18</v>
      </c>
      <c r="F2" s="4" t="s">
        <v>20</v>
      </c>
      <c r="G2" s="4" t="s">
        <v>21</v>
      </c>
      <c r="H2" s="4" t="s">
        <v>23</v>
      </c>
      <c r="I2" s="4" t="s">
        <v>24</v>
      </c>
      <c r="J2" s="4" t="s">
        <v>24</v>
      </c>
      <c r="K2" s="4" t="s">
        <v>28</v>
      </c>
      <c r="L2" s="4" t="s">
        <v>19</v>
      </c>
      <c r="M2" s="4" t="s">
        <v>92</v>
      </c>
    </row>
    <row r="3" spans="1:13" ht="12.75">
      <c r="A3" s="2" t="s">
        <v>59</v>
      </c>
      <c r="B3" s="3">
        <v>210</v>
      </c>
      <c r="C3" s="3">
        <v>8.3</v>
      </c>
      <c r="D3" s="5">
        <f aca="true" t="shared" si="0" ref="D3:D24">C3/((B3/144)^1.5)</f>
        <v>4.712950608719897</v>
      </c>
      <c r="E3" s="4">
        <v>9</v>
      </c>
      <c r="F3" s="4">
        <v>4.7</v>
      </c>
      <c r="G3">
        <v>3750</v>
      </c>
      <c r="H3" s="4">
        <f aca="true" t="shared" si="1" ref="H3:H24">F3/E3</f>
        <v>0.5222222222222223</v>
      </c>
      <c r="I3" s="4">
        <f aca="true" t="shared" si="2" ref="I3:I24">(F3*G3)/1056</f>
        <v>16.69034090909091</v>
      </c>
      <c r="J3" s="5">
        <f>SQRT(C3/(B3/144))*3.7</f>
        <v>8.826984600805485</v>
      </c>
      <c r="K3" s="6">
        <f>I3/J3</f>
        <v>1.8908315425822624</v>
      </c>
      <c r="L3" s="6">
        <f>K3^2*((F3*E3^3*G3^2*10^-10*(E3/F3)*0.5)/C3)</f>
        <v>1.9871477633209322</v>
      </c>
      <c r="M3" s="43">
        <f>L3/$L$24</f>
        <v>0.12328557312790904</v>
      </c>
    </row>
    <row r="4" spans="1:13" ht="12.75">
      <c r="A4" s="21" t="s">
        <v>61</v>
      </c>
      <c r="B4" s="22">
        <v>144</v>
      </c>
      <c r="C4" s="22">
        <v>16</v>
      </c>
      <c r="D4" s="23">
        <f t="shared" si="0"/>
        <v>16</v>
      </c>
      <c r="E4" s="23">
        <v>5.5</v>
      </c>
      <c r="F4" s="23">
        <v>4.5</v>
      </c>
      <c r="G4" s="22">
        <v>11000</v>
      </c>
      <c r="H4" s="23">
        <f t="shared" si="1"/>
        <v>0.8181818181818182</v>
      </c>
      <c r="I4" s="23">
        <f t="shared" si="2"/>
        <v>46.875</v>
      </c>
      <c r="J4" s="23">
        <f aca="true" t="shared" si="3" ref="J4:J24">SQRT(C4/(B4/144))*3.7</f>
        <v>14.8</v>
      </c>
      <c r="K4" s="24">
        <f aca="true" t="shared" si="4" ref="K4:K24">I4/J4</f>
        <v>3.1672297297297294</v>
      </c>
      <c r="L4" s="24">
        <f aca="true" t="shared" si="5" ref="L4:L26">K4^2*((F4*E4^3*G4^2*10^-10*(E4/F4)*0.5)/C4)</f>
        <v>3.470925408788977</v>
      </c>
      <c r="M4" s="42">
        <f aca="true" t="shared" si="6" ref="M4:M26">L4/$L$24</f>
        <v>0.21534132297823544</v>
      </c>
    </row>
    <row r="5" spans="1:13" ht="12.75">
      <c r="A5" s="2" t="s">
        <v>58</v>
      </c>
      <c r="B5" s="3">
        <v>372</v>
      </c>
      <c r="C5" s="3">
        <v>21.16</v>
      </c>
      <c r="D5" s="5">
        <f t="shared" si="0"/>
        <v>5.096182728889346</v>
      </c>
      <c r="E5" s="4">
        <v>4.92</v>
      </c>
      <c r="F5" s="4">
        <v>4.33</v>
      </c>
      <c r="G5">
        <v>11600</v>
      </c>
      <c r="H5" s="4">
        <f t="shared" si="1"/>
        <v>0.8800813008130082</v>
      </c>
      <c r="I5" s="4">
        <f t="shared" si="2"/>
        <v>47.56439393939394</v>
      </c>
      <c r="J5" s="5">
        <f t="shared" si="3"/>
        <v>10.589350706587103</v>
      </c>
      <c r="K5" s="6">
        <f t="shared" si="4"/>
        <v>4.491719582939728</v>
      </c>
      <c r="L5" s="6">
        <f t="shared" si="5"/>
        <v>3.7588587102100126</v>
      </c>
      <c r="M5" s="43">
        <f t="shared" si="6"/>
        <v>0.23320512895357914</v>
      </c>
    </row>
    <row r="6" spans="1:13" ht="12.75">
      <c r="A6" s="21" t="s">
        <v>57</v>
      </c>
      <c r="B6" s="22">
        <v>580</v>
      </c>
      <c r="C6" s="22">
        <v>80</v>
      </c>
      <c r="D6" s="23">
        <f t="shared" si="0"/>
        <v>9.896730288776737</v>
      </c>
      <c r="E6" s="23">
        <v>12</v>
      </c>
      <c r="F6" s="23">
        <v>8</v>
      </c>
      <c r="G6" s="22">
        <v>6550</v>
      </c>
      <c r="H6" s="23">
        <f t="shared" si="1"/>
        <v>0.6666666666666666</v>
      </c>
      <c r="I6" s="23">
        <f t="shared" si="2"/>
        <v>49.621212121212125</v>
      </c>
      <c r="J6" s="23">
        <f t="shared" si="3"/>
        <v>16.489746030122205</v>
      </c>
      <c r="K6" s="24">
        <f t="shared" si="4"/>
        <v>3.0092162748030136</v>
      </c>
      <c r="L6" s="24">
        <f t="shared" si="5"/>
        <v>5.034941227502317</v>
      </c>
      <c r="M6" s="42">
        <f t="shared" si="6"/>
        <v>0.3123751672399964</v>
      </c>
    </row>
    <row r="7" spans="1:13" ht="12.75">
      <c r="A7" s="2" t="s">
        <v>56</v>
      </c>
      <c r="B7" s="3">
        <v>450</v>
      </c>
      <c r="C7" s="3">
        <v>56</v>
      </c>
      <c r="D7" s="5">
        <f t="shared" si="0"/>
        <v>10.137082815090345</v>
      </c>
      <c r="E7" s="4">
        <v>10</v>
      </c>
      <c r="F7" s="4">
        <v>6</v>
      </c>
      <c r="G7">
        <v>8500</v>
      </c>
      <c r="H7" s="4">
        <f t="shared" si="1"/>
        <v>0.6</v>
      </c>
      <c r="I7" s="4">
        <f t="shared" si="2"/>
        <v>48.29545454545455</v>
      </c>
      <c r="J7" s="5">
        <f t="shared" si="3"/>
        <v>15.662847761502379</v>
      </c>
      <c r="K7" s="6">
        <f t="shared" si="4"/>
        <v>3.083440207096928</v>
      </c>
      <c r="L7" s="6">
        <f t="shared" si="5"/>
        <v>6.133253157599157</v>
      </c>
      <c r="M7" s="43">
        <f t="shared" si="6"/>
        <v>0.3805160565460426</v>
      </c>
    </row>
    <row r="8" spans="1:13" ht="12.75">
      <c r="A8" s="21" t="s">
        <v>55</v>
      </c>
      <c r="B8" s="22">
        <v>250</v>
      </c>
      <c r="C8" s="22">
        <v>34</v>
      </c>
      <c r="D8" s="23">
        <f t="shared" si="0"/>
        <v>14.863210967217007</v>
      </c>
      <c r="E8" s="23">
        <v>7</v>
      </c>
      <c r="F8" s="23">
        <v>4</v>
      </c>
      <c r="G8" s="22">
        <v>13500</v>
      </c>
      <c r="H8" s="23">
        <f t="shared" si="1"/>
        <v>0.5714285714285714</v>
      </c>
      <c r="I8" s="23">
        <f t="shared" si="2"/>
        <v>51.13636363636363</v>
      </c>
      <c r="J8" s="23">
        <f t="shared" si="3"/>
        <v>16.37391095615217</v>
      </c>
      <c r="K8" s="24">
        <f t="shared" si="4"/>
        <v>3.123039069486949</v>
      </c>
      <c r="L8" s="24">
        <f t="shared" si="5"/>
        <v>6.276327816700388</v>
      </c>
      <c r="M8" s="42">
        <f t="shared" si="6"/>
        <v>0.3893926190608991</v>
      </c>
    </row>
    <row r="9" spans="1:13" ht="12.75">
      <c r="A9" s="2" t="s">
        <v>54</v>
      </c>
      <c r="B9" s="3">
        <v>282</v>
      </c>
      <c r="C9" s="3">
        <v>30.8</v>
      </c>
      <c r="D9" s="5">
        <f t="shared" si="0"/>
        <v>11.238821980148066</v>
      </c>
      <c r="E9" s="4">
        <v>7</v>
      </c>
      <c r="F9" s="4">
        <v>4</v>
      </c>
      <c r="G9">
        <v>12875</v>
      </c>
      <c r="H9" s="4">
        <f t="shared" si="1"/>
        <v>0.5714285714285714</v>
      </c>
      <c r="I9" s="4">
        <f t="shared" si="2"/>
        <v>48.76893939393939</v>
      </c>
      <c r="J9" s="5">
        <f>SQRT(C9/(B9/144))*3.7</f>
        <v>14.673501953333025</v>
      </c>
      <c r="K9" s="6">
        <f>I9/J9</f>
        <v>3.3236060177755813</v>
      </c>
      <c r="L9" s="6">
        <f t="shared" si="5"/>
        <v>7.137152830997219</v>
      </c>
      <c r="M9" s="43">
        <f t="shared" si="6"/>
        <v>0.44279947043317186</v>
      </c>
    </row>
    <row r="10" spans="1:13" ht="12.75">
      <c r="A10" s="21" t="s">
        <v>53</v>
      </c>
      <c r="B10" s="22">
        <v>360</v>
      </c>
      <c r="C10" s="22">
        <v>37.6</v>
      </c>
      <c r="D10" s="23">
        <f t="shared" si="0"/>
        <v>9.512131201786485</v>
      </c>
      <c r="E10" s="23">
        <v>8.5</v>
      </c>
      <c r="F10" s="23">
        <v>5</v>
      </c>
      <c r="G10" s="22">
        <v>9900</v>
      </c>
      <c r="H10" s="23">
        <f t="shared" si="1"/>
        <v>0.5882352941176471</v>
      </c>
      <c r="I10" s="23">
        <f t="shared" si="2"/>
        <v>46.875</v>
      </c>
      <c r="J10" s="23">
        <f>SQRT(C10/(B10/144))*3.7</f>
        <v>14.349132377952335</v>
      </c>
      <c r="K10" s="24">
        <f>I10/J10</f>
        <v>3.266748035025739</v>
      </c>
      <c r="L10" s="24">
        <f t="shared" si="5"/>
        <v>7.260382955182659</v>
      </c>
      <c r="M10" s="42">
        <f t="shared" si="6"/>
        <v>0.45044484878260854</v>
      </c>
    </row>
    <row r="11" spans="1:13" ht="12.75">
      <c r="A11" s="2" t="s">
        <v>52</v>
      </c>
      <c r="B11" s="3">
        <v>486</v>
      </c>
      <c r="C11" s="3">
        <v>58.6</v>
      </c>
      <c r="D11" s="5">
        <f t="shared" si="0"/>
        <v>9.451199929355997</v>
      </c>
      <c r="E11" s="4">
        <v>10</v>
      </c>
      <c r="F11" s="4">
        <v>6</v>
      </c>
      <c r="G11">
        <v>9000</v>
      </c>
      <c r="H11" s="4">
        <f t="shared" si="1"/>
        <v>0.6</v>
      </c>
      <c r="I11" s="4">
        <f t="shared" si="2"/>
        <v>51.13636363636363</v>
      </c>
      <c r="J11" s="5">
        <f t="shared" si="3"/>
        <v>15.417488866964135</v>
      </c>
      <c r="K11" s="6">
        <f t="shared" si="4"/>
        <v>3.3167764269274884</v>
      </c>
      <c r="L11" s="6">
        <f t="shared" si="5"/>
        <v>7.603084259078259</v>
      </c>
      <c r="M11" s="43">
        <f t="shared" si="6"/>
        <v>0.4717065422722976</v>
      </c>
    </row>
    <row r="12" spans="1:13" ht="12.75">
      <c r="A12" s="22" t="s">
        <v>32</v>
      </c>
      <c r="B12" s="22">
        <v>315</v>
      </c>
      <c r="C12" s="22">
        <v>34.66</v>
      </c>
      <c r="D12" s="23">
        <f>C12/((B12/144)^1.5)</f>
        <v>10.712885565765625</v>
      </c>
      <c r="E12" s="23">
        <v>11</v>
      </c>
      <c r="F12" s="23">
        <v>8</v>
      </c>
      <c r="G12" s="22">
        <v>6090</v>
      </c>
      <c r="H12" s="23">
        <f>F12/E12</f>
        <v>0.7272727272727273</v>
      </c>
      <c r="I12" s="30">
        <f>(F12*G12)/1056</f>
        <v>46.13636363636363</v>
      </c>
      <c r="J12" s="23">
        <f>SQRT(C12/(B12/144))*3.7</f>
        <v>14.72793885298085</v>
      </c>
      <c r="K12" s="24">
        <f>I12/J12</f>
        <v>3.13257436067002</v>
      </c>
      <c r="L12" s="24">
        <f t="shared" si="5"/>
        <v>7.686870239488472</v>
      </c>
      <c r="M12" s="42">
        <f t="shared" si="6"/>
        <v>0.47690474786406184</v>
      </c>
    </row>
    <row r="13" spans="1:13" ht="12.75">
      <c r="A13" s="2" t="s">
        <v>51</v>
      </c>
      <c r="B13" s="3">
        <v>460</v>
      </c>
      <c r="C13" s="3">
        <v>71</v>
      </c>
      <c r="D13" s="5">
        <f t="shared" si="0"/>
        <v>12.435559773194308</v>
      </c>
      <c r="E13" s="4">
        <v>12</v>
      </c>
      <c r="F13" s="4">
        <v>6</v>
      </c>
      <c r="G13">
        <v>8550</v>
      </c>
      <c r="H13" s="4">
        <f t="shared" si="1"/>
        <v>0.5</v>
      </c>
      <c r="I13" s="4">
        <f t="shared" si="2"/>
        <v>48.57954545454545</v>
      </c>
      <c r="J13" s="5">
        <f t="shared" si="3"/>
        <v>17.44348389613676</v>
      </c>
      <c r="K13" s="6">
        <f t="shared" si="4"/>
        <v>2.7849680570579394</v>
      </c>
      <c r="L13" s="6">
        <f t="shared" si="5"/>
        <v>8.279599045951455</v>
      </c>
      <c r="M13" s="43">
        <f t="shared" si="6"/>
        <v>0.5136785157554276</v>
      </c>
    </row>
    <row r="14" spans="1:13" ht="12.75">
      <c r="A14" s="22" t="s">
        <v>50</v>
      </c>
      <c r="B14" s="22">
        <v>415</v>
      </c>
      <c r="C14" s="22">
        <v>42.34</v>
      </c>
      <c r="D14" s="23">
        <f t="shared" si="0"/>
        <v>8.654110710654965</v>
      </c>
      <c r="E14" s="23">
        <v>10</v>
      </c>
      <c r="F14" s="23">
        <v>7</v>
      </c>
      <c r="G14" s="22">
        <v>7980</v>
      </c>
      <c r="H14" s="23">
        <f t="shared" si="1"/>
        <v>0.7</v>
      </c>
      <c r="I14" s="30">
        <f t="shared" si="2"/>
        <v>52.89772727272727</v>
      </c>
      <c r="J14" s="23">
        <f t="shared" si="3"/>
        <v>14.181897709777857</v>
      </c>
      <c r="K14" s="24">
        <f t="shared" si="4"/>
        <v>3.729947032141995</v>
      </c>
      <c r="L14" s="24">
        <f t="shared" si="5"/>
        <v>10.462374523516178</v>
      </c>
      <c r="M14" s="42">
        <f t="shared" si="6"/>
        <v>0.6491011203187556</v>
      </c>
    </row>
    <row r="15" spans="1:13" ht="12.75">
      <c r="A15" s="2" t="s">
        <v>49</v>
      </c>
      <c r="B15" s="3">
        <v>569</v>
      </c>
      <c r="C15" s="3">
        <v>92.8</v>
      </c>
      <c r="D15" s="5">
        <f t="shared" si="0"/>
        <v>11.814716766272763</v>
      </c>
      <c r="E15" s="4">
        <v>12</v>
      </c>
      <c r="F15" s="4">
        <v>10</v>
      </c>
      <c r="G15">
        <v>7700</v>
      </c>
      <c r="H15" s="4">
        <f t="shared" si="1"/>
        <v>0.8333333333333334</v>
      </c>
      <c r="I15" s="4">
        <f t="shared" si="2"/>
        <v>72.91666666666667</v>
      </c>
      <c r="J15" s="5">
        <f t="shared" si="3"/>
        <v>17.93084783389172</v>
      </c>
      <c r="K15" s="6">
        <f t="shared" si="4"/>
        <v>4.066548740034721</v>
      </c>
      <c r="L15" s="6">
        <f t="shared" si="5"/>
        <v>10.954193961769022</v>
      </c>
      <c r="M15" s="43">
        <f t="shared" si="6"/>
        <v>0.679614322426643</v>
      </c>
    </row>
    <row r="16" spans="1:13" ht="12.75">
      <c r="A16" s="22" t="s">
        <v>48</v>
      </c>
      <c r="B16" s="22">
        <v>585</v>
      </c>
      <c r="C16" s="22">
        <v>79.88</v>
      </c>
      <c r="D16" s="23">
        <f t="shared" si="0"/>
        <v>9.755465451309265</v>
      </c>
      <c r="E16" s="23">
        <v>11</v>
      </c>
      <c r="F16" s="23">
        <v>8.5</v>
      </c>
      <c r="G16" s="22">
        <v>8610</v>
      </c>
      <c r="H16" s="23">
        <f t="shared" si="1"/>
        <v>0.7727272727272727</v>
      </c>
      <c r="I16" s="30">
        <f t="shared" si="2"/>
        <v>69.30397727272727</v>
      </c>
      <c r="J16" s="23">
        <f t="shared" si="3"/>
        <v>16.40680684256479</v>
      </c>
      <c r="K16" s="24">
        <f t="shared" si="4"/>
        <v>4.224099054602713</v>
      </c>
      <c r="L16" s="24">
        <f t="shared" si="5"/>
        <v>12.122080933669775</v>
      </c>
      <c r="M16" s="42">
        <f t="shared" si="6"/>
        <v>0.7520717497690246</v>
      </c>
    </row>
    <row r="17" spans="1:13" ht="12.75">
      <c r="A17" s="2" t="s">
        <v>138</v>
      </c>
      <c r="B17" s="3">
        <v>415</v>
      </c>
      <c r="C17" s="3">
        <v>42.34</v>
      </c>
      <c r="D17" s="5">
        <f t="shared" si="0"/>
        <v>8.654110710654965</v>
      </c>
      <c r="E17" s="4">
        <v>10</v>
      </c>
      <c r="F17" s="4">
        <v>8</v>
      </c>
      <c r="G17">
        <v>7770</v>
      </c>
      <c r="H17" s="4">
        <f t="shared" si="1"/>
        <v>0.8</v>
      </c>
      <c r="I17" s="4">
        <f t="shared" si="2"/>
        <v>58.86363636363637</v>
      </c>
      <c r="J17" s="5">
        <f t="shared" si="3"/>
        <v>14.181897709777857</v>
      </c>
      <c r="K17" s="6">
        <f t="shared" si="4"/>
        <v>4.150617750052747</v>
      </c>
      <c r="L17" s="6">
        <f t="shared" si="5"/>
        <v>12.282496986243924</v>
      </c>
      <c r="M17" s="43">
        <f t="shared" si="6"/>
        <v>0.7620241978685405</v>
      </c>
    </row>
    <row r="18" spans="1:13" ht="12.75">
      <c r="A18" s="22" t="s">
        <v>137</v>
      </c>
      <c r="B18" s="22">
        <v>615</v>
      </c>
      <c r="C18" s="22">
        <v>87.3</v>
      </c>
      <c r="D18" s="23">
        <f t="shared" si="0"/>
        <v>9.891116296510575</v>
      </c>
      <c r="E18" s="23">
        <v>12</v>
      </c>
      <c r="F18" s="23">
        <v>7</v>
      </c>
      <c r="G18" s="22">
        <v>9120</v>
      </c>
      <c r="H18" s="23">
        <f t="shared" si="1"/>
        <v>0.5833333333333334</v>
      </c>
      <c r="I18" s="30">
        <f t="shared" si="2"/>
        <v>60.45454545454545</v>
      </c>
      <c r="J18" s="23">
        <f t="shared" si="3"/>
        <v>16.72832795283381</v>
      </c>
      <c r="K18" s="24">
        <f t="shared" si="4"/>
        <v>3.6139024548657503</v>
      </c>
      <c r="L18" s="24">
        <f t="shared" si="5"/>
        <v>12.900996981158194</v>
      </c>
      <c r="M18" s="42">
        <f t="shared" si="6"/>
        <v>0.8003968482371179</v>
      </c>
    </row>
    <row r="19" spans="1:13" ht="12.75">
      <c r="A19" s="2" t="s">
        <v>33</v>
      </c>
      <c r="B19" s="3">
        <v>315</v>
      </c>
      <c r="C19" s="3">
        <v>30.62</v>
      </c>
      <c r="D19" s="5">
        <f t="shared" si="0"/>
        <v>9.464182228036453</v>
      </c>
      <c r="E19" s="4">
        <v>9.5</v>
      </c>
      <c r="F19" s="4">
        <v>7.5</v>
      </c>
      <c r="G19">
        <v>7860</v>
      </c>
      <c r="H19" s="4">
        <f t="shared" si="1"/>
        <v>0.7894736842105263</v>
      </c>
      <c r="I19" s="4">
        <f t="shared" si="2"/>
        <v>55.82386363636363</v>
      </c>
      <c r="J19" s="5">
        <f t="shared" si="3"/>
        <v>13.843002151680414</v>
      </c>
      <c r="K19" s="6">
        <f t="shared" si="4"/>
        <v>4.032641404277115</v>
      </c>
      <c r="L19" s="6">
        <f t="shared" si="5"/>
        <v>13.362371470869528</v>
      </c>
      <c r="M19" s="43">
        <f t="shared" si="6"/>
        <v>0.8290212009101162</v>
      </c>
    </row>
    <row r="20" spans="1:13" ht="12.75">
      <c r="A20" s="21" t="s">
        <v>135</v>
      </c>
      <c r="B20" s="22">
        <v>615</v>
      </c>
      <c r="C20" s="22">
        <v>87.3</v>
      </c>
      <c r="D20" s="23">
        <f t="shared" si="0"/>
        <v>9.891116296510575</v>
      </c>
      <c r="E20" s="23">
        <v>13</v>
      </c>
      <c r="F20" s="23">
        <v>9</v>
      </c>
      <c r="G20" s="22">
        <v>7600</v>
      </c>
      <c r="H20" s="23">
        <f t="shared" si="1"/>
        <v>0.6923076923076923</v>
      </c>
      <c r="I20" s="23">
        <f t="shared" si="2"/>
        <v>64.77272727272727</v>
      </c>
      <c r="J20" s="23">
        <f t="shared" si="3"/>
        <v>16.72832795283381</v>
      </c>
      <c r="K20" s="24">
        <f t="shared" si="4"/>
        <v>3.872038344499018</v>
      </c>
      <c r="L20" s="24">
        <f t="shared" si="5"/>
        <v>14.165622148111916</v>
      </c>
      <c r="M20" s="42">
        <f t="shared" si="6"/>
        <v>0.8788560556386397</v>
      </c>
    </row>
    <row r="21" spans="1:13" ht="12.75">
      <c r="A21" s="2" t="s">
        <v>9</v>
      </c>
      <c r="B21" s="3">
        <v>585</v>
      </c>
      <c r="C21" s="3">
        <v>84</v>
      </c>
      <c r="D21" s="5">
        <f t="shared" si="0"/>
        <v>10.258626663870535</v>
      </c>
      <c r="E21" s="5">
        <v>10</v>
      </c>
      <c r="F21" s="5">
        <v>7</v>
      </c>
      <c r="G21">
        <v>11224</v>
      </c>
      <c r="H21" s="4">
        <f t="shared" si="1"/>
        <v>0.7</v>
      </c>
      <c r="I21" s="5">
        <f t="shared" si="2"/>
        <v>74.40151515151516</v>
      </c>
      <c r="J21" s="5">
        <f t="shared" si="3"/>
        <v>16.82459737774063</v>
      </c>
      <c r="K21" s="6">
        <f t="shared" si="4"/>
        <v>4.42218696121372</v>
      </c>
      <c r="L21" s="6">
        <f t="shared" si="5"/>
        <v>14.664262756520081</v>
      </c>
      <c r="M21" s="43">
        <f t="shared" si="6"/>
        <v>0.909792453186506</v>
      </c>
    </row>
    <row r="22" spans="1:13" ht="12.75">
      <c r="A22" s="21" t="s">
        <v>8</v>
      </c>
      <c r="B22" s="22">
        <v>512</v>
      </c>
      <c r="C22" s="22">
        <v>66</v>
      </c>
      <c r="D22" s="23">
        <f t="shared" si="0"/>
        <v>9.844252219331466</v>
      </c>
      <c r="E22" s="23">
        <v>11</v>
      </c>
      <c r="F22" s="23">
        <v>8.5</v>
      </c>
      <c r="G22" s="22">
        <v>8500</v>
      </c>
      <c r="H22" s="23">
        <f t="shared" si="1"/>
        <v>0.7727272727272727</v>
      </c>
      <c r="I22" s="23">
        <f t="shared" si="2"/>
        <v>68.41856060606061</v>
      </c>
      <c r="J22" s="23">
        <f t="shared" si="3"/>
        <v>15.94116134414303</v>
      </c>
      <c r="K22" s="24">
        <f t="shared" si="4"/>
        <v>4.2919432987985155</v>
      </c>
      <c r="L22" s="24">
        <f t="shared" si="5"/>
        <v>14.761912016221993</v>
      </c>
      <c r="M22" s="42">
        <f t="shared" si="6"/>
        <v>0.9158507570379253</v>
      </c>
    </row>
    <row r="23" spans="1:13" ht="12.75">
      <c r="A23" s="2" t="s">
        <v>7</v>
      </c>
      <c r="B23" s="3">
        <v>415</v>
      </c>
      <c r="C23" s="3">
        <v>40.8</v>
      </c>
      <c r="D23" s="5">
        <f t="shared" si="0"/>
        <v>8.339341450040683</v>
      </c>
      <c r="E23" s="5">
        <v>10</v>
      </c>
      <c r="F23" s="5">
        <v>7</v>
      </c>
      <c r="G23">
        <v>8587</v>
      </c>
      <c r="H23" s="4">
        <f t="shared" si="1"/>
        <v>0.7</v>
      </c>
      <c r="I23" s="5">
        <f t="shared" si="2"/>
        <v>56.921401515151516</v>
      </c>
      <c r="J23" s="5">
        <f t="shared" si="3"/>
        <v>13.921595255495374</v>
      </c>
      <c r="K23" s="6">
        <f t="shared" si="4"/>
        <v>4.088712569968051</v>
      </c>
      <c r="L23" s="6">
        <f t="shared" si="5"/>
        <v>15.106572171534596</v>
      </c>
      <c r="M23" s="43">
        <f t="shared" si="6"/>
        <v>0.937233980553753</v>
      </c>
    </row>
    <row r="24" spans="1:13" ht="12.75">
      <c r="A24" s="21" t="s">
        <v>6</v>
      </c>
      <c r="B24" s="22">
        <v>615</v>
      </c>
      <c r="C24" s="22">
        <v>87.3</v>
      </c>
      <c r="D24" s="23">
        <f t="shared" si="0"/>
        <v>9.891116296510575</v>
      </c>
      <c r="E24" s="23">
        <v>14</v>
      </c>
      <c r="F24" s="23">
        <v>8.5</v>
      </c>
      <c r="G24" s="22">
        <v>7500</v>
      </c>
      <c r="H24" s="23">
        <f t="shared" si="1"/>
        <v>0.6071428571428571</v>
      </c>
      <c r="I24" s="23">
        <f t="shared" si="2"/>
        <v>60.36931818181818</v>
      </c>
      <c r="J24" s="23">
        <f t="shared" si="3"/>
        <v>16.72832795283381</v>
      </c>
      <c r="K24" s="24">
        <f t="shared" si="4"/>
        <v>3.608807667570357</v>
      </c>
      <c r="L24" s="24">
        <f t="shared" si="5"/>
        <v>16.11825060227657</v>
      </c>
      <c r="M24" s="42">
        <f t="shared" si="6"/>
        <v>1</v>
      </c>
    </row>
    <row r="25" spans="1:13" ht="12.75">
      <c r="A25" s="2" t="s">
        <v>136</v>
      </c>
      <c r="B25" s="3">
        <v>569</v>
      </c>
      <c r="C25" s="3">
        <v>73.9</v>
      </c>
      <c r="D25" s="5">
        <f>C25/((B25/144)^1.5)</f>
        <v>9.408486735210747</v>
      </c>
      <c r="E25" s="5">
        <v>12</v>
      </c>
      <c r="F25" s="5">
        <v>10</v>
      </c>
      <c r="G25">
        <v>7800</v>
      </c>
      <c r="H25" s="4">
        <f>F25/E25</f>
        <v>0.8333333333333334</v>
      </c>
      <c r="I25" s="5">
        <f>(F25*G25)/1056</f>
        <v>73.86363636363636</v>
      </c>
      <c r="J25" s="5">
        <f>SQRT(C25/(B25/144))*3.7</f>
        <v>16.00107114164988</v>
      </c>
      <c r="K25" s="6">
        <f>I25/J25</f>
        <v>4.616168237098422</v>
      </c>
      <c r="L25" s="6">
        <f t="shared" si="5"/>
        <v>18.1887566401194</v>
      </c>
      <c r="M25" s="43">
        <f t="shared" si="6"/>
        <v>1.128457243216605</v>
      </c>
    </row>
    <row r="26" spans="1:13" ht="12.75">
      <c r="A26" s="21" t="s">
        <v>60</v>
      </c>
      <c r="B26" s="22">
        <v>512</v>
      </c>
      <c r="C26" s="22">
        <v>69.8</v>
      </c>
      <c r="D26" s="23">
        <f>C26/((B26/144)^1.5)</f>
        <v>10.411042498626307</v>
      </c>
      <c r="E26" s="23">
        <v>10</v>
      </c>
      <c r="F26" s="23">
        <v>7</v>
      </c>
      <c r="G26" s="22">
        <v>11280</v>
      </c>
      <c r="H26" s="23">
        <f>F26/E26</f>
        <v>0.7</v>
      </c>
      <c r="I26" s="23">
        <f>(F26*G26)/1056</f>
        <v>74.77272727272727</v>
      </c>
      <c r="J26" s="23">
        <f>SQRT(C26/(B26/144))*3.7</f>
        <v>16.393651591393542</v>
      </c>
      <c r="K26" s="24">
        <f>I26/J26</f>
        <v>4.561078223230143</v>
      </c>
      <c r="L26" s="24">
        <f t="shared" si="5"/>
        <v>18.961287447841023</v>
      </c>
      <c r="M26" s="42">
        <f t="shared" si="6"/>
        <v>1.1763861920078904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45">
      <selection activeCell="O70" sqref="A58:O70"/>
    </sheetView>
  </sheetViews>
  <sheetFormatPr defaultColWidth="11.00390625" defaultRowHeight="12.75"/>
  <cols>
    <col min="1" max="1" width="42.125" style="0" customWidth="1"/>
    <col min="2" max="2" width="9.125" style="0" customWidth="1"/>
    <col min="3" max="3" width="6.625" style="0" bestFit="1" customWidth="1"/>
    <col min="4" max="4" width="8.125" style="0" bestFit="1" customWidth="1"/>
    <col min="5" max="5" width="7.75390625" style="0" bestFit="1" customWidth="1"/>
    <col min="6" max="6" width="6.00390625" style="0" bestFit="1" customWidth="1"/>
    <col min="7" max="7" width="7.625" style="0" bestFit="1" customWidth="1"/>
    <col min="8" max="8" width="5.375" style="0" bestFit="1" customWidth="1"/>
    <col min="9" max="10" width="6.00390625" style="0" bestFit="1" customWidth="1"/>
    <col min="11" max="11" width="8.875" style="0" bestFit="1" customWidth="1"/>
    <col min="13" max="13" width="11.625" style="0" customWidth="1"/>
    <col min="14" max="14" width="5.625" style="0" bestFit="1" customWidth="1"/>
  </cols>
  <sheetData>
    <row r="1" spans="2:12" ht="12.75">
      <c r="B1" t="s">
        <v>10</v>
      </c>
      <c r="C1" t="s">
        <v>11</v>
      </c>
      <c r="D1" s="4" t="s">
        <v>14</v>
      </c>
      <c r="E1" s="4" t="s">
        <v>16</v>
      </c>
      <c r="F1" s="4" t="s">
        <v>17</v>
      </c>
      <c r="G1" s="4"/>
      <c r="H1" s="4" t="s">
        <v>22</v>
      </c>
      <c r="I1" s="4" t="s">
        <v>17</v>
      </c>
      <c r="J1" s="4" t="s">
        <v>25</v>
      </c>
      <c r="K1" s="4" t="s">
        <v>26</v>
      </c>
      <c r="L1" s="4" t="s">
        <v>27</v>
      </c>
    </row>
    <row r="2" spans="1:12" ht="12.75">
      <c r="A2" s="1" t="s">
        <v>90</v>
      </c>
      <c r="B2" t="s">
        <v>12</v>
      </c>
      <c r="C2" t="s">
        <v>13</v>
      </c>
      <c r="D2" s="4" t="s">
        <v>15</v>
      </c>
      <c r="E2" s="4" t="s">
        <v>18</v>
      </c>
      <c r="F2" s="4" t="s">
        <v>20</v>
      </c>
      <c r="G2" s="4" t="s">
        <v>21</v>
      </c>
      <c r="H2" s="4" t="s">
        <v>23</v>
      </c>
      <c r="I2" s="4" t="s">
        <v>24</v>
      </c>
      <c r="J2" s="4" t="s">
        <v>24</v>
      </c>
      <c r="K2" s="4" t="s">
        <v>28</v>
      </c>
      <c r="L2" s="4" t="s">
        <v>19</v>
      </c>
    </row>
    <row r="3" spans="1:12" ht="12.75">
      <c r="A3" s="2" t="s">
        <v>62</v>
      </c>
      <c r="B3" s="3">
        <v>210</v>
      </c>
      <c r="C3" s="3">
        <v>8.3</v>
      </c>
      <c r="D3" s="5">
        <f>C3/((B3/144)^1.5)</f>
        <v>4.712950608719897</v>
      </c>
      <c r="E3" s="4">
        <v>9</v>
      </c>
      <c r="F3" s="4">
        <v>4.7</v>
      </c>
      <c r="G3">
        <v>3750</v>
      </c>
      <c r="H3" s="4">
        <f>F3/E3</f>
        <v>0.5222222222222223</v>
      </c>
      <c r="I3" s="4">
        <f>(F3*G3)/1056</f>
        <v>16.69034090909091</v>
      </c>
      <c r="J3" s="5">
        <f>SQRT(C3/(B3/144))*3.7</f>
        <v>8.826984600805485</v>
      </c>
      <c r="K3" s="6">
        <f>I3/J3</f>
        <v>1.8908315425822624</v>
      </c>
      <c r="L3" s="6">
        <f aca="true" t="shared" si="0" ref="L3:L35">K3^2*((F3*E3^3*G3^2*10^-10*(E3/F3)*0.5)/C3)</f>
        <v>1.9871477633209322</v>
      </c>
    </row>
    <row r="4" spans="1:12" ht="12.75">
      <c r="A4" s="21" t="s">
        <v>134</v>
      </c>
      <c r="B4" s="22">
        <v>144</v>
      </c>
      <c r="C4" s="22">
        <v>16</v>
      </c>
      <c r="D4" s="23">
        <f>C4/((B4/144)^1.5)</f>
        <v>16</v>
      </c>
      <c r="E4" s="23">
        <v>5.5</v>
      </c>
      <c r="F4" s="23">
        <v>4.5</v>
      </c>
      <c r="G4" s="22">
        <v>11000</v>
      </c>
      <c r="H4" s="23">
        <f>F4/E4</f>
        <v>0.8181818181818182</v>
      </c>
      <c r="I4" s="23">
        <f>(F4*G4)/1056</f>
        <v>46.875</v>
      </c>
      <c r="J4" s="23">
        <f>SQRT(C4/(B4/144))*3.7</f>
        <v>14.8</v>
      </c>
      <c r="K4" s="24">
        <f>I4/J4</f>
        <v>3.1672297297297294</v>
      </c>
      <c r="L4" s="24">
        <f t="shared" si="0"/>
        <v>3.470925408788977</v>
      </c>
    </row>
    <row r="5" spans="1:12" ht="12.75">
      <c r="A5" s="2" t="s">
        <v>5</v>
      </c>
      <c r="B5" s="3">
        <v>372</v>
      </c>
      <c r="C5" s="3">
        <v>21.16</v>
      </c>
      <c r="D5" s="5">
        <f aca="true" t="shared" si="1" ref="D5:D35">C5/((B5/144)^1.5)</f>
        <v>5.096182728889346</v>
      </c>
      <c r="E5" s="4">
        <v>4.92</v>
      </c>
      <c r="F5" s="4">
        <v>4.33</v>
      </c>
      <c r="G5">
        <v>11600</v>
      </c>
      <c r="H5" s="4">
        <f aca="true" t="shared" si="2" ref="H5:H35">F5/E5</f>
        <v>0.8800813008130082</v>
      </c>
      <c r="I5" s="4">
        <f aca="true" t="shared" si="3" ref="I5:I35">(F5*G5)/1056</f>
        <v>47.56439393939394</v>
      </c>
      <c r="J5" s="5">
        <f aca="true" t="shared" si="4" ref="J5:J35">SQRT(C5/(B5/144))*3.7</f>
        <v>10.589350706587103</v>
      </c>
      <c r="K5" s="6">
        <f aca="true" t="shared" si="5" ref="K5:K35">I5/J5</f>
        <v>4.491719582939728</v>
      </c>
      <c r="L5" s="6">
        <f t="shared" si="0"/>
        <v>3.7588587102100126</v>
      </c>
    </row>
    <row r="6" spans="1:12" ht="12.75">
      <c r="A6" s="21" t="s">
        <v>29</v>
      </c>
      <c r="B6" s="22">
        <v>580</v>
      </c>
      <c r="C6" s="22">
        <v>80</v>
      </c>
      <c r="D6" s="23">
        <f t="shared" si="1"/>
        <v>9.896730288776737</v>
      </c>
      <c r="E6" s="23">
        <v>12</v>
      </c>
      <c r="F6" s="23">
        <v>8</v>
      </c>
      <c r="G6" s="22">
        <v>6550</v>
      </c>
      <c r="H6" s="23">
        <f>F6/E6</f>
        <v>0.6666666666666666</v>
      </c>
      <c r="I6" s="23">
        <f t="shared" si="3"/>
        <v>49.621212121212125</v>
      </c>
      <c r="J6" s="23">
        <f t="shared" si="4"/>
        <v>16.489746030122205</v>
      </c>
      <c r="K6" s="24">
        <f t="shared" si="5"/>
        <v>3.0092162748030136</v>
      </c>
      <c r="L6" s="24">
        <f t="shared" si="0"/>
        <v>5.034941227502317</v>
      </c>
    </row>
    <row r="7" spans="1:12" ht="12.75">
      <c r="A7" s="3" t="s">
        <v>123</v>
      </c>
      <c r="B7" s="3">
        <v>450</v>
      </c>
      <c r="C7" s="3">
        <v>56</v>
      </c>
      <c r="D7" s="5">
        <f t="shared" si="1"/>
        <v>10.137082815090345</v>
      </c>
      <c r="E7" s="4">
        <v>10</v>
      </c>
      <c r="F7" s="4">
        <v>6</v>
      </c>
      <c r="G7">
        <v>8500</v>
      </c>
      <c r="H7" s="4">
        <f t="shared" si="2"/>
        <v>0.6</v>
      </c>
      <c r="I7" s="5">
        <f t="shared" si="3"/>
        <v>48.29545454545455</v>
      </c>
      <c r="J7" s="5">
        <f t="shared" si="4"/>
        <v>15.662847761502379</v>
      </c>
      <c r="K7" s="6">
        <f t="shared" si="5"/>
        <v>3.083440207096928</v>
      </c>
      <c r="L7" s="6">
        <f t="shared" si="0"/>
        <v>6.133253157599157</v>
      </c>
    </row>
    <row r="8" spans="1:12" ht="12.75">
      <c r="A8" s="21" t="s">
        <v>125</v>
      </c>
      <c r="B8" s="22">
        <v>250</v>
      </c>
      <c r="C8" s="22">
        <v>34</v>
      </c>
      <c r="D8" s="23">
        <f t="shared" si="1"/>
        <v>14.863210967217007</v>
      </c>
      <c r="E8" s="23">
        <v>7</v>
      </c>
      <c r="F8" s="23">
        <v>4</v>
      </c>
      <c r="G8" s="22">
        <v>13500</v>
      </c>
      <c r="H8" s="23">
        <f>F8/E8</f>
        <v>0.5714285714285714</v>
      </c>
      <c r="I8" s="23">
        <f t="shared" si="3"/>
        <v>51.13636363636363</v>
      </c>
      <c r="J8" s="23">
        <f t="shared" si="4"/>
        <v>16.37391095615217</v>
      </c>
      <c r="K8" s="24">
        <f t="shared" si="5"/>
        <v>3.123039069486949</v>
      </c>
      <c r="L8" s="24">
        <f t="shared" si="0"/>
        <v>6.276327816700388</v>
      </c>
    </row>
    <row r="9" spans="1:12" ht="12.75">
      <c r="A9" s="3" t="s">
        <v>124</v>
      </c>
      <c r="B9" s="3">
        <v>282</v>
      </c>
      <c r="C9" s="3">
        <v>30.8</v>
      </c>
      <c r="D9" s="5">
        <f t="shared" si="1"/>
        <v>11.238821980148066</v>
      </c>
      <c r="E9" s="4">
        <v>7</v>
      </c>
      <c r="F9" s="4">
        <v>4</v>
      </c>
      <c r="G9">
        <v>12875</v>
      </c>
      <c r="H9" s="4">
        <f t="shared" si="2"/>
        <v>0.5714285714285714</v>
      </c>
      <c r="I9" s="5">
        <f t="shared" si="3"/>
        <v>48.76893939393939</v>
      </c>
      <c r="J9" s="5">
        <f>SQRT(C9/(B9/144))*3.7</f>
        <v>14.673501953333025</v>
      </c>
      <c r="K9" s="6">
        <f>I9/J9</f>
        <v>3.3236060177755813</v>
      </c>
      <c r="L9" s="6">
        <f t="shared" si="0"/>
        <v>7.137152830997219</v>
      </c>
    </row>
    <row r="10" spans="1:12" ht="12.75">
      <c r="A10" s="21" t="s">
        <v>122</v>
      </c>
      <c r="B10" s="22">
        <v>360</v>
      </c>
      <c r="C10" s="22">
        <v>37.6</v>
      </c>
      <c r="D10" s="23">
        <f t="shared" si="1"/>
        <v>9.512131201786485</v>
      </c>
      <c r="E10" s="23">
        <v>8.5</v>
      </c>
      <c r="F10" s="23">
        <v>5</v>
      </c>
      <c r="G10" s="22">
        <v>9900</v>
      </c>
      <c r="H10" s="23">
        <f t="shared" si="2"/>
        <v>0.5882352941176471</v>
      </c>
      <c r="I10" s="23">
        <f t="shared" si="3"/>
        <v>46.875</v>
      </c>
      <c r="J10" s="23">
        <f t="shared" si="4"/>
        <v>14.349132377952335</v>
      </c>
      <c r="K10" s="24">
        <f t="shared" si="5"/>
        <v>3.266748035025739</v>
      </c>
      <c r="L10" s="24">
        <f t="shared" si="0"/>
        <v>7.260382955182659</v>
      </c>
    </row>
    <row r="11" spans="1:12" ht="12.75">
      <c r="A11" s="2" t="s">
        <v>31</v>
      </c>
      <c r="B11" s="3">
        <v>486</v>
      </c>
      <c r="C11" s="3">
        <v>58.6</v>
      </c>
      <c r="D11" s="5">
        <f t="shared" si="1"/>
        <v>9.451199929355997</v>
      </c>
      <c r="E11" s="5">
        <v>10</v>
      </c>
      <c r="F11" s="5">
        <v>6</v>
      </c>
      <c r="G11">
        <v>9000</v>
      </c>
      <c r="H11" s="4">
        <f t="shared" si="2"/>
        <v>0.6</v>
      </c>
      <c r="I11" s="5">
        <f t="shared" si="3"/>
        <v>51.13636363636363</v>
      </c>
      <c r="J11" s="5">
        <f t="shared" si="4"/>
        <v>15.417488866964135</v>
      </c>
      <c r="K11" s="6">
        <f t="shared" si="5"/>
        <v>3.3167764269274884</v>
      </c>
      <c r="L11" s="6">
        <f t="shared" si="0"/>
        <v>7.603084259078259</v>
      </c>
    </row>
    <row r="12" spans="1:12" ht="12.75">
      <c r="A12" s="21" t="s">
        <v>128</v>
      </c>
      <c r="B12" s="22">
        <v>460</v>
      </c>
      <c r="C12" s="22">
        <v>71</v>
      </c>
      <c r="D12" s="23">
        <f>C12/((B12/144)^1.5)</f>
        <v>12.435559773194308</v>
      </c>
      <c r="E12" s="23">
        <v>12</v>
      </c>
      <c r="F12" s="23">
        <v>6</v>
      </c>
      <c r="G12" s="22">
        <v>8550</v>
      </c>
      <c r="H12" s="23">
        <f t="shared" si="2"/>
        <v>0.5</v>
      </c>
      <c r="I12" s="23">
        <f>(F12*G12)/1056</f>
        <v>48.57954545454545</v>
      </c>
      <c r="J12" s="23">
        <f>SQRT(C12/(B12/144))*3.7</f>
        <v>17.44348389613676</v>
      </c>
      <c r="K12" s="24">
        <f>I12/J12</f>
        <v>2.7849680570579394</v>
      </c>
      <c r="L12" s="24">
        <f t="shared" si="0"/>
        <v>8.279599045951455</v>
      </c>
    </row>
    <row r="13" spans="1:12" ht="12.75">
      <c r="A13" s="7" t="s">
        <v>65</v>
      </c>
      <c r="B13" s="8">
        <v>700</v>
      </c>
      <c r="C13" s="8">
        <f>8*16</f>
        <v>128</v>
      </c>
      <c r="D13" s="9">
        <f t="shared" si="1"/>
        <v>11.942813428296132</v>
      </c>
      <c r="E13" s="9">
        <v>14</v>
      </c>
      <c r="F13" s="10">
        <v>10</v>
      </c>
      <c r="G13" s="8">
        <v>7004</v>
      </c>
      <c r="H13" s="9">
        <f t="shared" si="2"/>
        <v>0.7142857142857143</v>
      </c>
      <c r="I13" s="9">
        <f>(F13*G13)/1056</f>
        <v>66.32575757575758</v>
      </c>
      <c r="J13" s="9">
        <f>SQRT(C13/(B13/144))*3.7</f>
        <v>18.98623862545863</v>
      </c>
      <c r="K13" s="11">
        <f>I13/J13</f>
        <v>3.4933595265584323</v>
      </c>
      <c r="L13" s="11">
        <f t="shared" si="0"/>
        <v>8.983612707487818</v>
      </c>
    </row>
    <row r="14" spans="1:12" ht="12.75">
      <c r="A14" s="7" t="s">
        <v>67</v>
      </c>
      <c r="B14" s="8">
        <v>700</v>
      </c>
      <c r="C14" s="8">
        <f>8*16</f>
        <v>128</v>
      </c>
      <c r="D14" s="9">
        <f t="shared" si="1"/>
        <v>11.942813428296132</v>
      </c>
      <c r="E14" s="9">
        <v>14</v>
      </c>
      <c r="F14" s="10">
        <v>10</v>
      </c>
      <c r="G14" s="8">
        <v>7016</v>
      </c>
      <c r="H14" s="9">
        <f t="shared" si="2"/>
        <v>0.7142857142857143</v>
      </c>
      <c r="I14" s="9">
        <f t="shared" si="3"/>
        <v>66.43939393939394</v>
      </c>
      <c r="J14" s="9">
        <f t="shared" si="4"/>
        <v>18.98623862545863</v>
      </c>
      <c r="K14" s="11">
        <f t="shared" si="5"/>
        <v>3.49934472277755</v>
      </c>
      <c r="L14" s="11">
        <f t="shared" si="0"/>
        <v>9.04533784705362</v>
      </c>
    </row>
    <row r="15" spans="1:12" ht="12.75">
      <c r="A15" s="7" t="s">
        <v>68</v>
      </c>
      <c r="B15" s="8">
        <v>700</v>
      </c>
      <c r="C15" s="8">
        <f>8*16</f>
        <v>128</v>
      </c>
      <c r="D15" s="9">
        <f t="shared" si="1"/>
        <v>11.942813428296132</v>
      </c>
      <c r="E15" s="9">
        <v>14</v>
      </c>
      <c r="F15" s="10">
        <v>10</v>
      </c>
      <c r="G15" s="8">
        <v>7018</v>
      </c>
      <c r="H15" s="9">
        <f t="shared" si="2"/>
        <v>0.7142857142857143</v>
      </c>
      <c r="I15" s="9">
        <f t="shared" si="3"/>
        <v>66.45833333333333</v>
      </c>
      <c r="J15" s="9">
        <f t="shared" si="4"/>
        <v>18.98623862545863</v>
      </c>
      <c r="K15" s="11">
        <f t="shared" si="5"/>
        <v>3.500342255480736</v>
      </c>
      <c r="L15" s="11">
        <f t="shared" si="0"/>
        <v>9.055656212293034</v>
      </c>
    </row>
    <row r="16" spans="1:12" ht="12.75">
      <c r="A16" s="7" t="s">
        <v>69</v>
      </c>
      <c r="B16" s="8">
        <v>700</v>
      </c>
      <c r="C16" s="8">
        <f>8*16</f>
        <v>128</v>
      </c>
      <c r="D16" s="9">
        <f t="shared" si="1"/>
        <v>11.942813428296132</v>
      </c>
      <c r="E16" s="9">
        <v>14</v>
      </c>
      <c r="F16" s="10">
        <v>10</v>
      </c>
      <c r="G16" s="8">
        <v>7020</v>
      </c>
      <c r="H16" s="9">
        <f t="shared" si="2"/>
        <v>0.7142857142857143</v>
      </c>
      <c r="I16" s="9">
        <f t="shared" si="3"/>
        <v>66.47727272727273</v>
      </c>
      <c r="J16" s="9">
        <f t="shared" si="4"/>
        <v>18.98623862545863</v>
      </c>
      <c r="K16" s="11">
        <f t="shared" si="5"/>
        <v>3.501339788183923</v>
      </c>
      <c r="L16" s="11">
        <f t="shared" si="0"/>
        <v>9.065983402933345</v>
      </c>
    </row>
    <row r="17" spans="1:12" ht="12.75">
      <c r="A17" s="7" t="s">
        <v>70</v>
      </c>
      <c r="B17" s="8">
        <v>700</v>
      </c>
      <c r="C17" s="8">
        <f>8*16</f>
        <v>128</v>
      </c>
      <c r="D17" s="9">
        <f t="shared" si="1"/>
        <v>11.942813428296132</v>
      </c>
      <c r="E17" s="9">
        <v>14</v>
      </c>
      <c r="F17" s="10">
        <v>10</v>
      </c>
      <c r="G17" s="8">
        <v>7039</v>
      </c>
      <c r="H17" s="9">
        <f t="shared" si="2"/>
        <v>0.7142857142857143</v>
      </c>
      <c r="I17" s="9">
        <f t="shared" si="3"/>
        <v>66.65719696969697</v>
      </c>
      <c r="J17" s="9">
        <f t="shared" si="4"/>
        <v>18.98623862545863</v>
      </c>
      <c r="K17" s="11">
        <f t="shared" si="5"/>
        <v>3.5108163488641924</v>
      </c>
      <c r="L17" s="11">
        <f t="shared" si="0"/>
        <v>9.16453284330716</v>
      </c>
    </row>
    <row r="18" spans="1:12" ht="12.75">
      <c r="A18" s="2" t="s">
        <v>66</v>
      </c>
      <c r="B18" s="3">
        <v>415</v>
      </c>
      <c r="C18" s="3">
        <v>42.34</v>
      </c>
      <c r="D18" s="5">
        <f t="shared" si="1"/>
        <v>8.654110710654965</v>
      </c>
      <c r="E18" s="5">
        <v>10</v>
      </c>
      <c r="F18" s="5">
        <v>7</v>
      </c>
      <c r="G18">
        <v>7980</v>
      </c>
      <c r="H18" s="4">
        <f t="shared" si="2"/>
        <v>0.7</v>
      </c>
      <c r="I18" s="5">
        <f>(F18*G18)/1056</f>
        <v>52.89772727272727</v>
      </c>
      <c r="J18" s="5">
        <f>SQRT(C18/(B18/144))*3.7</f>
        <v>14.181897709777857</v>
      </c>
      <c r="K18" s="6">
        <f>I18/J18</f>
        <v>3.729947032141995</v>
      </c>
      <c r="L18" s="6">
        <f t="shared" si="0"/>
        <v>10.462374523516178</v>
      </c>
    </row>
    <row r="19" spans="1:12" ht="12.75">
      <c r="A19" s="21" t="s">
        <v>129</v>
      </c>
      <c r="B19" s="22">
        <v>569</v>
      </c>
      <c r="C19" s="22">
        <v>92.8</v>
      </c>
      <c r="D19" s="23">
        <f t="shared" si="1"/>
        <v>11.814716766272763</v>
      </c>
      <c r="E19" s="23">
        <v>12</v>
      </c>
      <c r="F19" s="23">
        <v>10</v>
      </c>
      <c r="G19" s="22">
        <v>7700</v>
      </c>
      <c r="H19" s="23">
        <f t="shared" si="2"/>
        <v>0.8333333333333334</v>
      </c>
      <c r="I19" s="23">
        <f t="shared" si="3"/>
        <v>72.91666666666667</v>
      </c>
      <c r="J19" s="23">
        <f t="shared" si="4"/>
        <v>17.93084783389172</v>
      </c>
      <c r="K19" s="24">
        <f t="shared" si="5"/>
        <v>4.066548740034721</v>
      </c>
      <c r="L19" s="24">
        <f t="shared" si="0"/>
        <v>10.954193961769022</v>
      </c>
    </row>
    <row r="20" spans="1:12" ht="12.75">
      <c r="A20" s="25" t="s">
        <v>118</v>
      </c>
      <c r="B20" s="26">
        <v>383</v>
      </c>
      <c r="C20" s="26">
        <v>46</v>
      </c>
      <c r="D20" s="27">
        <f t="shared" si="1"/>
        <v>10.60482262294783</v>
      </c>
      <c r="E20" s="27">
        <v>11</v>
      </c>
      <c r="F20" s="27">
        <v>8</v>
      </c>
      <c r="G20" s="26">
        <v>7400</v>
      </c>
      <c r="H20" s="27">
        <f t="shared" si="2"/>
        <v>0.7272727272727273</v>
      </c>
      <c r="I20" s="27">
        <f t="shared" si="3"/>
        <v>56.06060606060606</v>
      </c>
      <c r="J20" s="27">
        <f t="shared" si="4"/>
        <v>15.387302757854604</v>
      </c>
      <c r="K20" s="28">
        <f t="shared" si="5"/>
        <v>3.6433029844681104</v>
      </c>
      <c r="L20" s="28">
        <f t="shared" si="0"/>
        <v>11.567431379670474</v>
      </c>
    </row>
    <row r="21" spans="1:12" ht="12.75">
      <c r="A21" s="2" t="s">
        <v>130</v>
      </c>
      <c r="B21" s="3">
        <v>585</v>
      </c>
      <c r="C21" s="3">
        <v>79.88</v>
      </c>
      <c r="D21" s="5">
        <f t="shared" si="1"/>
        <v>9.755465451309265</v>
      </c>
      <c r="E21" s="5">
        <v>11</v>
      </c>
      <c r="F21" s="5">
        <v>8.5</v>
      </c>
      <c r="G21">
        <v>8610</v>
      </c>
      <c r="H21" s="4">
        <f t="shared" si="2"/>
        <v>0.7727272727272727</v>
      </c>
      <c r="I21" s="5">
        <f t="shared" si="3"/>
        <v>69.30397727272727</v>
      </c>
      <c r="J21" s="5">
        <f t="shared" si="4"/>
        <v>16.40680684256479</v>
      </c>
      <c r="K21" s="6">
        <f t="shared" si="5"/>
        <v>4.224099054602713</v>
      </c>
      <c r="L21" s="6">
        <f t="shared" si="0"/>
        <v>12.122080933669775</v>
      </c>
    </row>
    <row r="22" spans="1:12" ht="12.75">
      <c r="A22" s="21" t="s">
        <v>66</v>
      </c>
      <c r="B22" s="22">
        <v>415</v>
      </c>
      <c r="C22" s="22">
        <v>42.34</v>
      </c>
      <c r="D22" s="23">
        <f t="shared" si="1"/>
        <v>8.654110710654965</v>
      </c>
      <c r="E22" s="23">
        <v>10</v>
      </c>
      <c r="F22" s="23">
        <v>8</v>
      </c>
      <c r="G22" s="22">
        <v>7770</v>
      </c>
      <c r="H22" s="23">
        <f t="shared" si="2"/>
        <v>0.8</v>
      </c>
      <c r="I22" s="23">
        <f t="shared" si="3"/>
        <v>58.86363636363637</v>
      </c>
      <c r="J22" s="23">
        <f t="shared" si="4"/>
        <v>14.181897709777857</v>
      </c>
      <c r="K22" s="24">
        <f t="shared" si="5"/>
        <v>4.150617750052747</v>
      </c>
      <c r="L22" s="24">
        <f t="shared" si="0"/>
        <v>12.282496986243924</v>
      </c>
    </row>
    <row r="23" spans="1:12" ht="12.75">
      <c r="A23" s="25" t="s">
        <v>89</v>
      </c>
      <c r="B23" s="26">
        <v>383</v>
      </c>
      <c r="C23" s="26">
        <v>46</v>
      </c>
      <c r="D23" s="27">
        <f t="shared" si="1"/>
        <v>10.60482262294783</v>
      </c>
      <c r="E23" s="27">
        <v>11</v>
      </c>
      <c r="F23" s="27">
        <v>8.5</v>
      </c>
      <c r="G23" s="26">
        <v>7325</v>
      </c>
      <c r="H23" s="27">
        <f t="shared" si="2"/>
        <v>0.7727272727272727</v>
      </c>
      <c r="I23" s="27">
        <f t="shared" si="3"/>
        <v>58.96070075757576</v>
      </c>
      <c r="J23" s="27">
        <f t="shared" si="4"/>
        <v>15.387302757854604</v>
      </c>
      <c r="K23" s="28">
        <f t="shared" si="5"/>
        <v>3.8317762174061776</v>
      </c>
      <c r="L23" s="28">
        <f t="shared" si="0"/>
        <v>12.537139160049257</v>
      </c>
    </row>
    <row r="24" spans="1:12" ht="12.75">
      <c r="A24" s="2" t="s">
        <v>126</v>
      </c>
      <c r="B24" s="3">
        <v>615</v>
      </c>
      <c r="C24" s="3">
        <v>87.3</v>
      </c>
      <c r="D24" s="5">
        <f t="shared" si="1"/>
        <v>9.891116296510575</v>
      </c>
      <c r="E24" s="5">
        <v>12</v>
      </c>
      <c r="F24" s="5">
        <v>7</v>
      </c>
      <c r="G24">
        <v>9120</v>
      </c>
      <c r="H24" s="4">
        <f t="shared" si="2"/>
        <v>0.5833333333333334</v>
      </c>
      <c r="I24" s="5">
        <f t="shared" si="3"/>
        <v>60.45454545454545</v>
      </c>
      <c r="J24" s="5">
        <f t="shared" si="4"/>
        <v>16.72832795283381</v>
      </c>
      <c r="K24" s="6">
        <f t="shared" si="5"/>
        <v>3.6139024548657503</v>
      </c>
      <c r="L24" s="6">
        <f t="shared" si="0"/>
        <v>12.900996981158194</v>
      </c>
    </row>
    <row r="25" spans="1:13" ht="12.75">
      <c r="A25" s="12" t="s">
        <v>4</v>
      </c>
      <c r="B25" s="13">
        <v>1108</v>
      </c>
      <c r="C25" s="13">
        <v>148</v>
      </c>
      <c r="D25" s="14">
        <f>C25/((B25/144)^1.5)</f>
        <v>6.934191207023635</v>
      </c>
      <c r="E25" s="14">
        <v>16</v>
      </c>
      <c r="F25" s="14">
        <v>4</v>
      </c>
      <c r="G25" s="15">
        <v>10200</v>
      </c>
      <c r="H25" s="14">
        <f>F25/E25</f>
        <v>0.25</v>
      </c>
      <c r="I25" s="14">
        <f>(F25*G25)/1056</f>
        <v>38.63636363636363</v>
      </c>
      <c r="J25" s="14">
        <f>SQRT(C25/(B25/144))*3.7</f>
        <v>16.227213404452602</v>
      </c>
      <c r="K25" s="16">
        <f>I25/J25</f>
        <v>2.380961085146151</v>
      </c>
      <c r="L25" s="16">
        <f t="shared" si="0"/>
        <v>13.058495918224232</v>
      </c>
      <c r="M25">
        <f>((F25*E25^3*G25^2*10^-10*(E25/F25)*0.5)/C25)</f>
        <v>2.303501837837838</v>
      </c>
    </row>
    <row r="26" spans="1:12" ht="12.75">
      <c r="A26" s="2" t="s">
        <v>127</v>
      </c>
      <c r="B26" s="3">
        <v>415</v>
      </c>
      <c r="C26" s="3">
        <v>41.34</v>
      </c>
      <c r="D26" s="5">
        <f>C26/((B26/144)^1.5)</f>
        <v>8.449715086879458</v>
      </c>
      <c r="E26" s="5">
        <v>10</v>
      </c>
      <c r="F26" s="5">
        <v>7</v>
      </c>
      <c r="G26">
        <v>8500</v>
      </c>
      <c r="H26" s="4">
        <f>F26/E26</f>
        <v>0.7</v>
      </c>
      <c r="I26" s="5">
        <f>(F26*G26)/1056</f>
        <v>56.34469696969697</v>
      </c>
      <c r="J26" s="5">
        <f>SQRT(C26/(B26/144))*3.7</f>
        <v>14.013420624185997</v>
      </c>
      <c r="K26" s="6">
        <f>I26/J26</f>
        <v>4.020766840642085</v>
      </c>
      <c r="L26" s="6">
        <f t="shared" si="0"/>
        <v>14.127169721175628</v>
      </c>
    </row>
    <row r="27" spans="1:12" ht="12.75">
      <c r="A27" s="21" t="s">
        <v>120</v>
      </c>
      <c r="B27" s="22">
        <v>615</v>
      </c>
      <c r="C27" s="22">
        <v>87.3</v>
      </c>
      <c r="D27" s="23">
        <f t="shared" si="1"/>
        <v>9.891116296510575</v>
      </c>
      <c r="E27" s="23">
        <v>13</v>
      </c>
      <c r="F27" s="23">
        <v>9</v>
      </c>
      <c r="G27" s="22">
        <v>7600</v>
      </c>
      <c r="H27" s="23">
        <f t="shared" si="2"/>
        <v>0.6923076923076923</v>
      </c>
      <c r="I27" s="23">
        <f t="shared" si="3"/>
        <v>64.77272727272727</v>
      </c>
      <c r="J27" s="23">
        <f t="shared" si="4"/>
        <v>16.72832795283381</v>
      </c>
      <c r="K27" s="24">
        <f t="shared" si="5"/>
        <v>3.872038344499018</v>
      </c>
      <c r="L27" s="24">
        <f t="shared" si="0"/>
        <v>14.165622148111916</v>
      </c>
    </row>
    <row r="28" spans="1:12" ht="12.75">
      <c r="A28" s="7" t="s">
        <v>71</v>
      </c>
      <c r="B28" s="8">
        <v>659</v>
      </c>
      <c r="C28" s="8">
        <v>80</v>
      </c>
      <c r="D28" s="9">
        <f t="shared" si="1"/>
        <v>8.171571841963209</v>
      </c>
      <c r="E28" s="9">
        <v>14</v>
      </c>
      <c r="F28" s="10">
        <v>10</v>
      </c>
      <c r="G28" s="8">
        <v>6300</v>
      </c>
      <c r="H28" s="9">
        <f t="shared" si="2"/>
        <v>0.7142857142857143</v>
      </c>
      <c r="I28" s="9">
        <f t="shared" si="3"/>
        <v>59.65909090909091</v>
      </c>
      <c r="J28" s="9">
        <f t="shared" si="4"/>
        <v>15.469819851953572</v>
      </c>
      <c r="K28" s="11">
        <f t="shared" si="5"/>
        <v>3.8564825886810175</v>
      </c>
      <c r="L28" s="11">
        <f t="shared" si="0"/>
        <v>14.172811429892311</v>
      </c>
    </row>
    <row r="29" spans="1:12" ht="12.75">
      <c r="A29" s="2" t="s">
        <v>132</v>
      </c>
      <c r="B29" s="3">
        <v>585</v>
      </c>
      <c r="C29" s="3">
        <v>84</v>
      </c>
      <c r="D29" s="5">
        <f t="shared" si="1"/>
        <v>10.258626663870535</v>
      </c>
      <c r="E29" s="4">
        <v>10</v>
      </c>
      <c r="F29" s="4">
        <v>7</v>
      </c>
      <c r="G29">
        <v>11224</v>
      </c>
      <c r="H29" s="4">
        <f t="shared" si="2"/>
        <v>0.7</v>
      </c>
      <c r="I29" s="5">
        <f t="shared" si="3"/>
        <v>74.40151515151516</v>
      </c>
      <c r="J29" s="5">
        <f t="shared" si="4"/>
        <v>16.82459737774063</v>
      </c>
      <c r="K29" s="6">
        <f t="shared" si="5"/>
        <v>4.42218696121372</v>
      </c>
      <c r="L29" s="6">
        <f t="shared" si="0"/>
        <v>14.664262756520081</v>
      </c>
    </row>
    <row r="30" spans="1:12" ht="12.75">
      <c r="A30" s="21" t="s">
        <v>131</v>
      </c>
      <c r="B30" s="22">
        <v>512</v>
      </c>
      <c r="C30" s="22">
        <v>66</v>
      </c>
      <c r="D30" s="23">
        <f t="shared" si="1"/>
        <v>9.844252219331466</v>
      </c>
      <c r="E30" s="23">
        <v>11</v>
      </c>
      <c r="F30" s="23">
        <v>8.5</v>
      </c>
      <c r="G30" s="22">
        <v>8500</v>
      </c>
      <c r="H30" s="23">
        <f t="shared" si="2"/>
        <v>0.7727272727272727</v>
      </c>
      <c r="I30" s="23">
        <f t="shared" si="3"/>
        <v>68.41856060606061</v>
      </c>
      <c r="J30" s="23">
        <f t="shared" si="4"/>
        <v>15.94116134414303</v>
      </c>
      <c r="K30" s="24">
        <f t="shared" si="5"/>
        <v>4.2919432987985155</v>
      </c>
      <c r="L30" s="24">
        <f t="shared" si="0"/>
        <v>14.761912016221993</v>
      </c>
    </row>
    <row r="31" spans="1:12" ht="12.75">
      <c r="A31" s="2" t="s">
        <v>121</v>
      </c>
      <c r="B31" s="3">
        <v>615</v>
      </c>
      <c r="C31" s="3">
        <v>87.3</v>
      </c>
      <c r="D31" s="5">
        <f t="shared" si="1"/>
        <v>9.891116296510575</v>
      </c>
      <c r="E31" s="5">
        <v>14</v>
      </c>
      <c r="F31" s="5">
        <v>8.5</v>
      </c>
      <c r="G31">
        <v>7500</v>
      </c>
      <c r="H31" s="4">
        <f t="shared" si="2"/>
        <v>0.6071428571428571</v>
      </c>
      <c r="I31" s="5">
        <f t="shared" si="3"/>
        <v>60.36931818181818</v>
      </c>
      <c r="J31" s="5">
        <f t="shared" si="4"/>
        <v>16.72832795283381</v>
      </c>
      <c r="K31" s="6">
        <f t="shared" si="5"/>
        <v>3.608807667570357</v>
      </c>
      <c r="L31" s="6">
        <f t="shared" si="0"/>
        <v>16.11825060227657</v>
      </c>
    </row>
    <row r="32" spans="1:12" ht="12.75">
      <c r="A32" s="21" t="s">
        <v>63</v>
      </c>
      <c r="B32" s="22">
        <v>569</v>
      </c>
      <c r="C32" s="22">
        <v>73.9</v>
      </c>
      <c r="D32" s="23">
        <f t="shared" si="1"/>
        <v>9.408486735210747</v>
      </c>
      <c r="E32" s="23">
        <v>12</v>
      </c>
      <c r="F32" s="23">
        <v>10</v>
      </c>
      <c r="G32" s="22">
        <v>7800</v>
      </c>
      <c r="H32" s="23">
        <f t="shared" si="2"/>
        <v>0.8333333333333334</v>
      </c>
      <c r="I32" s="23">
        <f t="shared" si="3"/>
        <v>73.86363636363636</v>
      </c>
      <c r="J32" s="23">
        <f t="shared" si="4"/>
        <v>16.00107114164988</v>
      </c>
      <c r="K32" s="24">
        <f t="shared" si="5"/>
        <v>4.616168237098422</v>
      </c>
      <c r="L32" s="24">
        <f t="shared" si="0"/>
        <v>18.1887566401194</v>
      </c>
    </row>
    <row r="33" spans="1:12" ht="12.75">
      <c r="A33" s="2" t="s">
        <v>133</v>
      </c>
      <c r="B33" s="3">
        <v>512</v>
      </c>
      <c r="C33" s="3">
        <v>69.8</v>
      </c>
      <c r="D33" s="5">
        <f t="shared" si="1"/>
        <v>10.411042498626307</v>
      </c>
      <c r="E33" s="5">
        <v>10</v>
      </c>
      <c r="F33" s="5">
        <v>7</v>
      </c>
      <c r="G33">
        <v>11280</v>
      </c>
      <c r="H33" s="4">
        <f t="shared" si="2"/>
        <v>0.7</v>
      </c>
      <c r="I33" s="5">
        <f t="shared" si="3"/>
        <v>74.77272727272727</v>
      </c>
      <c r="J33" s="5">
        <f t="shared" si="4"/>
        <v>16.393651591393542</v>
      </c>
      <c r="K33" s="6">
        <f t="shared" si="5"/>
        <v>4.561078223230143</v>
      </c>
      <c r="L33" s="6">
        <f t="shared" si="0"/>
        <v>18.961287447841023</v>
      </c>
    </row>
    <row r="34" spans="1:13" ht="12.75">
      <c r="A34" s="12" t="s">
        <v>64</v>
      </c>
      <c r="B34" s="13">
        <v>1108</v>
      </c>
      <c r="C34" s="13">
        <v>163</v>
      </c>
      <c r="D34" s="14">
        <f t="shared" si="1"/>
        <v>7.636980856384139</v>
      </c>
      <c r="E34" s="14">
        <v>17</v>
      </c>
      <c r="F34" s="14">
        <v>10</v>
      </c>
      <c r="G34" s="15">
        <v>7250</v>
      </c>
      <c r="H34" s="14">
        <f t="shared" si="2"/>
        <v>0.5882352941176471</v>
      </c>
      <c r="I34" s="14">
        <f t="shared" si="3"/>
        <v>68.65530303030303</v>
      </c>
      <c r="J34" s="14">
        <f t="shared" si="4"/>
        <v>17.029695872687963</v>
      </c>
      <c r="K34" s="16">
        <f t="shared" si="5"/>
        <v>4.0315049395809615</v>
      </c>
      <c r="L34" s="16">
        <f t="shared" si="0"/>
        <v>21.887113552905074</v>
      </c>
      <c r="M34">
        <f>((F34*E34^3*G34^2*10^-10*(E34/F34)*0.5)/C34)</f>
        <v>1.3466480253067488</v>
      </c>
    </row>
    <row r="35" spans="1:13" ht="12.75">
      <c r="A35" s="12" t="s">
        <v>3</v>
      </c>
      <c r="B35" s="13">
        <v>1108</v>
      </c>
      <c r="C35" s="13">
        <v>132</v>
      </c>
      <c r="D35" s="14">
        <f t="shared" si="1"/>
        <v>6.1845489143724315</v>
      </c>
      <c r="E35" s="14">
        <v>13</v>
      </c>
      <c r="F35" s="14">
        <v>6</v>
      </c>
      <c r="G35" s="15">
        <v>11600</v>
      </c>
      <c r="H35" s="14">
        <f t="shared" si="2"/>
        <v>0.46153846153846156</v>
      </c>
      <c r="I35" s="14">
        <f t="shared" si="3"/>
        <v>65.9090909090909</v>
      </c>
      <c r="J35" s="14">
        <f t="shared" si="4"/>
        <v>15.324984908797584</v>
      </c>
      <c r="K35" s="16">
        <f t="shared" si="5"/>
        <v>4.3007605750563975</v>
      </c>
      <c r="L35" s="16">
        <f t="shared" si="0"/>
        <v>26.92625736931772</v>
      </c>
      <c r="M35">
        <f>((F35*E35^3*G35^2*10^-10*(E35/F35)*0.5)/C35)</f>
        <v>1.455745515151515</v>
      </c>
    </row>
    <row r="36" spans="1:12" ht="12.75">
      <c r="A36" s="1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1"/>
      <c r="D37" s="4"/>
      <c r="E37" s="4"/>
      <c r="F37" s="4"/>
      <c r="G37" s="4"/>
      <c r="H37" s="4"/>
      <c r="I37" s="4"/>
      <c r="J37" s="4"/>
      <c r="K37" s="4"/>
      <c r="L37" s="4"/>
    </row>
    <row r="38" spans="2:15" ht="12.75">
      <c r="B38" t="s">
        <v>10</v>
      </c>
      <c r="C38" t="s">
        <v>11</v>
      </c>
      <c r="D38" s="4" t="s">
        <v>14</v>
      </c>
      <c r="E38" s="4" t="s">
        <v>16</v>
      </c>
      <c r="F38" s="4" t="s">
        <v>17</v>
      </c>
      <c r="G38" s="4"/>
      <c r="H38" s="4" t="s">
        <v>22</v>
      </c>
      <c r="I38" s="4" t="s">
        <v>17</v>
      </c>
      <c r="J38" s="4" t="s">
        <v>25</v>
      </c>
      <c r="K38" s="4" t="s">
        <v>26</v>
      </c>
      <c r="L38" s="4" t="s">
        <v>27</v>
      </c>
      <c r="N38" s="4" t="s">
        <v>109</v>
      </c>
      <c r="O38" s="4" t="s">
        <v>111</v>
      </c>
    </row>
    <row r="39" spans="1:15" ht="12.75">
      <c r="A39" s="1" t="s">
        <v>101</v>
      </c>
      <c r="B39" t="s">
        <v>12</v>
      </c>
      <c r="C39" t="s">
        <v>13</v>
      </c>
      <c r="D39" s="4" t="s">
        <v>15</v>
      </c>
      <c r="E39" s="4" t="s">
        <v>18</v>
      </c>
      <c r="F39" s="4" t="s">
        <v>20</v>
      </c>
      <c r="G39" s="4" t="s">
        <v>21</v>
      </c>
      <c r="H39" s="4" t="s">
        <v>23</v>
      </c>
      <c r="I39" s="4" t="s">
        <v>24</v>
      </c>
      <c r="J39" s="4" t="s">
        <v>24</v>
      </c>
      <c r="K39" s="4" t="s">
        <v>28</v>
      </c>
      <c r="L39" s="4" t="s">
        <v>19</v>
      </c>
      <c r="M39" s="4" t="s">
        <v>104</v>
      </c>
      <c r="N39" s="4" t="s">
        <v>110</v>
      </c>
      <c r="O39" s="4" t="s">
        <v>112</v>
      </c>
    </row>
    <row r="40" spans="1:15" ht="12.75">
      <c r="A40" s="22" t="s">
        <v>102</v>
      </c>
      <c r="B40" s="22">
        <v>510</v>
      </c>
      <c r="C40" s="22">
        <v>73</v>
      </c>
      <c r="D40" s="23">
        <f>C40/((B40/144)^1.5)</f>
        <v>10.952451384467627</v>
      </c>
      <c r="E40" s="23">
        <v>10</v>
      </c>
      <c r="F40" s="23">
        <v>8</v>
      </c>
      <c r="G40" s="22">
        <v>9390</v>
      </c>
      <c r="H40" s="23">
        <f>F40/E40</f>
        <v>0.8</v>
      </c>
      <c r="I40" s="30">
        <f>(F40*G40)/1056</f>
        <v>71.13636363636364</v>
      </c>
      <c r="J40" s="23">
        <f>SQRT(C40/(B40/144))*3.7</f>
        <v>16.79806711569904</v>
      </c>
      <c r="K40" s="24">
        <f>I40/J40</f>
        <v>4.234794583591193</v>
      </c>
      <c r="L40" s="24">
        <f aca="true" t="shared" si="6" ref="L40:L56">K40^2*((F40*E40^3*G40^2*10^-10*(E40/F40)*0.5)/C40)</f>
        <v>10.830363337915783</v>
      </c>
      <c r="M40" s="31" t="s">
        <v>107</v>
      </c>
      <c r="N40" s="32">
        <v>33</v>
      </c>
      <c r="O40" s="32">
        <f>465/(C40/16)</f>
        <v>101.91780821917808</v>
      </c>
    </row>
    <row r="41" spans="1:15" ht="12.75">
      <c r="A41" s="34" t="s">
        <v>102</v>
      </c>
      <c r="B41" s="35">
        <v>510</v>
      </c>
      <c r="C41" s="35">
        <v>73</v>
      </c>
      <c r="D41" s="36">
        <f>C41/((B41/144)^1.5)</f>
        <v>10.952451384467627</v>
      </c>
      <c r="E41" s="36">
        <v>10</v>
      </c>
      <c r="F41" s="36">
        <v>8</v>
      </c>
      <c r="G41" s="37">
        <v>9440</v>
      </c>
      <c r="H41" s="36">
        <f>F41/E41</f>
        <v>0.8</v>
      </c>
      <c r="I41" s="35">
        <f>(F41*G41)/1056</f>
        <v>71.51515151515152</v>
      </c>
      <c r="J41" s="36">
        <f>SQRT(C41/(B41/144))*3.7</f>
        <v>16.79806711569904</v>
      </c>
      <c r="K41" s="38">
        <f>I41/J41</f>
        <v>4.257344075516599</v>
      </c>
      <c r="L41" s="6">
        <f t="shared" si="6"/>
        <v>11.062891033899417</v>
      </c>
      <c r="M41" s="39" t="s">
        <v>108</v>
      </c>
      <c r="N41" s="40">
        <v>31</v>
      </c>
      <c r="O41" s="41">
        <f>446/(C41/16)</f>
        <v>97.75342465753425</v>
      </c>
    </row>
    <row r="42" spans="1:15" ht="12.75">
      <c r="A42" s="22" t="s">
        <v>102</v>
      </c>
      <c r="B42" s="22">
        <v>510</v>
      </c>
      <c r="C42" s="22">
        <v>73</v>
      </c>
      <c r="D42" s="23">
        <f>C42/((B42/144)^1.5)</f>
        <v>10.952451384467627</v>
      </c>
      <c r="E42" s="23">
        <v>11</v>
      </c>
      <c r="F42" s="23">
        <v>7</v>
      </c>
      <c r="G42" s="22">
        <v>9240</v>
      </c>
      <c r="H42" s="23">
        <f>F42/E42</f>
        <v>0.6363636363636364</v>
      </c>
      <c r="I42" s="30">
        <f>(F42*G42)/1056</f>
        <v>61.25</v>
      </c>
      <c r="J42" s="23">
        <f>SQRT(C42/(B42/144))*3.7</f>
        <v>16.79806711569904</v>
      </c>
      <c r="K42" s="24">
        <f>I42/J42</f>
        <v>3.646252844338104</v>
      </c>
      <c r="L42" s="24">
        <f t="shared" si="6"/>
        <v>11.382964701557997</v>
      </c>
      <c r="M42" s="31" t="s">
        <v>107</v>
      </c>
      <c r="N42" s="32">
        <v>37</v>
      </c>
      <c r="O42" s="32">
        <f>524/(C42/16)</f>
        <v>114.84931506849315</v>
      </c>
    </row>
    <row r="43" spans="1:15" ht="12.75">
      <c r="A43" s="34" t="s">
        <v>102</v>
      </c>
      <c r="B43" s="35">
        <v>510</v>
      </c>
      <c r="C43" s="35">
        <v>73</v>
      </c>
      <c r="D43" s="36">
        <f>C43/((B43/144)^1.5)</f>
        <v>10.952451384467627</v>
      </c>
      <c r="E43" s="36">
        <v>11</v>
      </c>
      <c r="F43" s="36">
        <v>7</v>
      </c>
      <c r="G43" s="37">
        <v>9340</v>
      </c>
      <c r="H43" s="36">
        <f>F43/E43</f>
        <v>0.6363636363636364</v>
      </c>
      <c r="I43" s="35">
        <f>(F43*G43)/1056</f>
        <v>61.91287878787879</v>
      </c>
      <c r="J43" s="36">
        <f>SQRT(C43/(B43/144))*3.7</f>
        <v>16.79806711569904</v>
      </c>
      <c r="K43" s="38">
        <f>I43/J43</f>
        <v>3.685714455207564</v>
      </c>
      <c r="L43" s="6">
        <f t="shared" si="6"/>
        <v>11.883791106164058</v>
      </c>
      <c r="M43" s="39" t="s">
        <v>105</v>
      </c>
      <c r="N43" s="40">
        <v>33</v>
      </c>
      <c r="O43" s="41">
        <f>475/(C43/16)</f>
        <v>104.10958904109589</v>
      </c>
    </row>
    <row r="44" spans="1:15" ht="12.75">
      <c r="A44" s="22" t="s">
        <v>102</v>
      </c>
      <c r="B44" s="22">
        <v>510</v>
      </c>
      <c r="C44" s="22">
        <v>73</v>
      </c>
      <c r="D44" s="23">
        <f>C44/((B44/144)^1.5)</f>
        <v>10.952451384467627</v>
      </c>
      <c r="E44" s="23">
        <v>10</v>
      </c>
      <c r="F44" s="23">
        <v>9</v>
      </c>
      <c r="G44" s="22">
        <v>9350</v>
      </c>
      <c r="H44" s="23">
        <f>F44/E44</f>
        <v>0.9</v>
      </c>
      <c r="I44" s="23">
        <f>(F44*G44)/1056</f>
        <v>79.6875</v>
      </c>
      <c r="J44" s="23">
        <f>SQRT(C44/(B44/144))*3.7</f>
        <v>16.79806711569904</v>
      </c>
      <c r="K44" s="24">
        <f>I44/J44</f>
        <v>4.743849363807227</v>
      </c>
      <c r="L44" s="24">
        <f t="shared" si="6"/>
        <v>13.475104627002</v>
      </c>
      <c r="M44" s="31" t="s">
        <v>106</v>
      </c>
      <c r="N44" s="32">
        <v>34</v>
      </c>
      <c r="O44" s="32">
        <f>482/(C44/16)</f>
        <v>105.64383561643835</v>
      </c>
    </row>
    <row r="46" spans="1:15" ht="12.75">
      <c r="A46" s="22" t="s">
        <v>113</v>
      </c>
      <c r="B46" s="22">
        <v>604</v>
      </c>
      <c r="C46" s="22">
        <v>80</v>
      </c>
      <c r="D46" s="23">
        <f>C46/((B46/144)^1.5)</f>
        <v>9.312757991765322</v>
      </c>
      <c r="E46" s="23">
        <v>10</v>
      </c>
      <c r="F46" s="23">
        <v>8</v>
      </c>
      <c r="G46" s="22">
        <v>9390</v>
      </c>
      <c r="H46" s="23">
        <f>F46/E46</f>
        <v>0.8</v>
      </c>
      <c r="I46" s="30">
        <f>(F46*G46)/1056</f>
        <v>71.13636363636364</v>
      </c>
      <c r="J46" s="23">
        <f>SQRT(C46/(B46/144))*3.7</f>
        <v>16.158814460479825</v>
      </c>
      <c r="K46" s="24">
        <f>I46/J46</f>
        <v>4.402325666300849</v>
      </c>
      <c r="L46" s="24">
        <f t="shared" si="6"/>
        <v>10.6801053191063</v>
      </c>
      <c r="M46" s="31" t="s">
        <v>107</v>
      </c>
      <c r="N46" s="32">
        <v>33</v>
      </c>
      <c r="O46" s="32">
        <f>465/(C46/16)</f>
        <v>93</v>
      </c>
    </row>
    <row r="47" spans="1:15" ht="12.75">
      <c r="A47" s="34" t="s">
        <v>113</v>
      </c>
      <c r="B47" s="35">
        <v>604</v>
      </c>
      <c r="C47" s="35">
        <v>80</v>
      </c>
      <c r="D47" s="36">
        <f>C47/((B47/144)^1.5)</f>
        <v>9.312757991765322</v>
      </c>
      <c r="E47" s="36">
        <v>10</v>
      </c>
      <c r="F47" s="36">
        <v>8</v>
      </c>
      <c r="G47" s="37">
        <v>9440</v>
      </c>
      <c r="H47" s="36">
        <f>F47/E47</f>
        <v>0.8</v>
      </c>
      <c r="I47" s="35">
        <f>(F47*G47)/1056</f>
        <v>71.51515151515152</v>
      </c>
      <c r="J47" s="36">
        <f>SQRT(C47/(B47/144))*3.7</f>
        <v>16.158814460479825</v>
      </c>
      <c r="K47" s="38">
        <f>I47/J47</f>
        <v>4.425767230019171</v>
      </c>
      <c r="L47" s="6">
        <f t="shared" si="6"/>
        <v>10.90940697826857</v>
      </c>
      <c r="M47" s="39" t="s">
        <v>108</v>
      </c>
      <c r="N47" s="40">
        <v>31</v>
      </c>
      <c r="O47" s="41">
        <f>446/(C47/16)</f>
        <v>89.2</v>
      </c>
    </row>
    <row r="48" spans="1:15" ht="12.75">
      <c r="A48" s="22" t="s">
        <v>113</v>
      </c>
      <c r="B48" s="22">
        <v>604</v>
      </c>
      <c r="C48" s="22">
        <v>80</v>
      </c>
      <c r="D48" s="23">
        <f>C48/((B48/144)^1.5)</f>
        <v>9.312757991765322</v>
      </c>
      <c r="E48" s="23">
        <v>11</v>
      </c>
      <c r="F48" s="23">
        <v>7</v>
      </c>
      <c r="G48" s="22">
        <v>9240</v>
      </c>
      <c r="H48" s="23">
        <f>F48/E48</f>
        <v>0.6363636363636364</v>
      </c>
      <c r="I48" s="30">
        <f>(F48*G48)/1056</f>
        <v>61.25</v>
      </c>
      <c r="J48" s="23">
        <f>SQRT(C48/(B48/144))*3.7</f>
        <v>16.158814460479825</v>
      </c>
      <c r="K48" s="24">
        <f>I48/J48</f>
        <v>3.790500853252648</v>
      </c>
      <c r="L48" s="24">
        <f t="shared" si="6"/>
        <v>11.225040016035528</v>
      </c>
      <c r="M48" s="31" t="s">
        <v>107</v>
      </c>
      <c r="N48" s="32">
        <v>37</v>
      </c>
      <c r="O48" s="32">
        <f>524/(C48/16)</f>
        <v>104.8</v>
      </c>
    </row>
    <row r="49" spans="1:15" ht="12.75">
      <c r="A49" s="34" t="s">
        <v>113</v>
      </c>
      <c r="B49" s="35">
        <v>604</v>
      </c>
      <c r="C49" s="35">
        <v>80</v>
      </c>
      <c r="D49" s="36">
        <f>C49/((B49/144)^1.5)</f>
        <v>9.312757991765322</v>
      </c>
      <c r="E49" s="36">
        <v>11</v>
      </c>
      <c r="F49" s="36">
        <v>7</v>
      </c>
      <c r="G49" s="37">
        <v>9340</v>
      </c>
      <c r="H49" s="36">
        <f>F49/E49</f>
        <v>0.6363636363636364</v>
      </c>
      <c r="I49" s="35">
        <f>(F49*G49)/1056</f>
        <v>61.91287878787879</v>
      </c>
      <c r="J49" s="36">
        <f>SQRT(C49/(B49/144))*3.7</f>
        <v>16.158814460479825</v>
      </c>
      <c r="K49" s="38">
        <f>I49/J49</f>
        <v>3.831523589759711</v>
      </c>
      <c r="L49" s="6">
        <f t="shared" si="6"/>
        <v>11.71891806803553</v>
      </c>
      <c r="M49" s="39" t="s">
        <v>105</v>
      </c>
      <c r="N49" s="40">
        <v>33</v>
      </c>
      <c r="O49" s="41">
        <f>475/(C49/16)</f>
        <v>95</v>
      </c>
    </row>
    <row r="50" spans="1:15" ht="12.75">
      <c r="A50" s="22" t="s">
        <v>113</v>
      </c>
      <c r="B50" s="22">
        <v>604</v>
      </c>
      <c r="C50" s="22">
        <v>80</v>
      </c>
      <c r="D50" s="23">
        <f>C50/((B50/144)^1.5)</f>
        <v>9.312757991765322</v>
      </c>
      <c r="E50" s="23">
        <v>10</v>
      </c>
      <c r="F50" s="23">
        <v>9</v>
      </c>
      <c r="G50" s="22">
        <v>9350</v>
      </c>
      <c r="H50" s="23">
        <f>F50/E50</f>
        <v>0.9</v>
      </c>
      <c r="I50" s="23">
        <f>(F50*G50)/1056</f>
        <v>79.6875</v>
      </c>
      <c r="J50" s="23">
        <f>SQRT(C50/(B50/144))*3.7</f>
        <v>16.158814460479825</v>
      </c>
      <c r="K50" s="24">
        <f>I50/J50</f>
        <v>4.931518967241965</v>
      </c>
      <c r="L50" s="24">
        <f t="shared" si="6"/>
        <v>13.288154063910966</v>
      </c>
      <c r="M50" s="31" t="s">
        <v>106</v>
      </c>
      <c r="N50" s="32">
        <v>34</v>
      </c>
      <c r="O50" s="32">
        <f>482/(C50/16)</f>
        <v>96.4</v>
      </c>
    </row>
    <row r="51" spans="4:15" ht="12.75">
      <c r="D51" s="5"/>
      <c r="E51" s="4"/>
      <c r="F51" s="4"/>
      <c r="J51" s="5"/>
      <c r="K51" s="6"/>
      <c r="L51" s="6"/>
      <c r="M51" s="29"/>
      <c r="N51" s="29"/>
      <c r="O51" s="33"/>
    </row>
    <row r="52" spans="1:15" ht="12.75">
      <c r="A52" s="22" t="s">
        <v>114</v>
      </c>
      <c r="B52" s="22">
        <v>604</v>
      </c>
      <c r="C52" s="22">
        <v>82.85</v>
      </c>
      <c r="D52" s="23">
        <f>C52/((B52/144)^1.5)</f>
        <v>9.64452499522196</v>
      </c>
      <c r="E52" s="23">
        <v>11</v>
      </c>
      <c r="F52" s="23">
        <v>8</v>
      </c>
      <c r="G52" s="22">
        <v>9140</v>
      </c>
      <c r="H52" s="23">
        <f>F52/E52</f>
        <v>0.7272727272727273</v>
      </c>
      <c r="I52" s="30">
        <f>(F52*G52)/1056</f>
        <v>69.24242424242425</v>
      </c>
      <c r="J52" s="23">
        <f>SQRT(C52/(B52/144))*3.7</f>
        <v>16.444124536991303</v>
      </c>
      <c r="K52" s="24">
        <f>I52/J52</f>
        <v>4.210769876296083</v>
      </c>
      <c r="L52" s="24">
        <f t="shared" si="6"/>
        <v>13.087709250247523</v>
      </c>
      <c r="M52" s="31" t="s">
        <v>103</v>
      </c>
      <c r="N52" s="32">
        <v>31</v>
      </c>
      <c r="O52" s="32">
        <f>533/(C52/16)</f>
        <v>102.93301146650575</v>
      </c>
    </row>
    <row r="53" spans="1:15" ht="12.75">
      <c r="A53" t="s">
        <v>114</v>
      </c>
      <c r="B53">
        <v>604</v>
      </c>
      <c r="C53">
        <v>82.85</v>
      </c>
      <c r="D53" s="5">
        <f>C53/((B53/144)^1.5)</f>
        <v>9.64452499522196</v>
      </c>
      <c r="E53" s="4">
        <v>12</v>
      </c>
      <c r="F53" s="4">
        <v>7</v>
      </c>
      <c r="G53">
        <v>9065</v>
      </c>
      <c r="H53">
        <f>F53/E53</f>
        <v>0.5833333333333334</v>
      </c>
      <c r="I53">
        <f>(F53*G53)/1056</f>
        <v>60.089962121212125</v>
      </c>
      <c r="J53" s="5">
        <f>SQRT(C53/(B53/144))*3.7</f>
        <v>16.444124536991303</v>
      </c>
      <c r="K53" s="6">
        <f>I53/J53</f>
        <v>3.654190406186651</v>
      </c>
      <c r="L53" s="6">
        <f t="shared" si="6"/>
        <v>13.731577702225819</v>
      </c>
      <c r="M53" s="29" t="s">
        <v>106</v>
      </c>
      <c r="N53" s="29">
        <v>33</v>
      </c>
      <c r="O53" s="33">
        <f>565/(C53/16)</f>
        <v>109.11285455642728</v>
      </c>
    </row>
    <row r="54" spans="1:15" ht="12.75">
      <c r="A54" s="22" t="s">
        <v>114</v>
      </c>
      <c r="B54" s="22">
        <v>604</v>
      </c>
      <c r="C54" s="22">
        <v>82.85</v>
      </c>
      <c r="D54" s="23">
        <f>C54/((B54/144)^1.5)</f>
        <v>9.64452499522196</v>
      </c>
      <c r="E54" s="23">
        <v>11</v>
      </c>
      <c r="F54" s="23">
        <v>8.5</v>
      </c>
      <c r="G54" s="22">
        <v>9125</v>
      </c>
      <c r="H54" s="23">
        <f>F54/E54</f>
        <v>0.7727272727272727</v>
      </c>
      <c r="I54" s="23">
        <f>(F54*G54)/1056</f>
        <v>73.44933712121212</v>
      </c>
      <c r="J54" s="23">
        <f>SQRT(C54/(B54/144))*3.7</f>
        <v>16.444124536991303</v>
      </c>
      <c r="K54" s="24">
        <f>I54/J54</f>
        <v>4.466600636354142</v>
      </c>
      <c r="L54" s="24">
        <f t="shared" si="6"/>
        <v>14.67804535723922</v>
      </c>
      <c r="M54" s="31" t="s">
        <v>105</v>
      </c>
      <c r="N54" s="32">
        <v>32</v>
      </c>
      <c r="O54" s="32">
        <f>541/(C54/16)</f>
        <v>104.47797223898613</v>
      </c>
    </row>
    <row r="55" spans="1:15" ht="12.75">
      <c r="A55" t="s">
        <v>114</v>
      </c>
      <c r="B55">
        <v>604</v>
      </c>
      <c r="C55">
        <v>82.85</v>
      </c>
      <c r="D55" s="5">
        <f>C55/((B55/144)^1.5)</f>
        <v>9.64452499522196</v>
      </c>
      <c r="E55" s="4">
        <v>12</v>
      </c>
      <c r="F55" s="4">
        <v>8</v>
      </c>
      <c r="G55">
        <v>9040</v>
      </c>
      <c r="H55">
        <f>F55/E55</f>
        <v>0.6666666666666666</v>
      </c>
      <c r="I55">
        <f>(F55*G55)/1056</f>
        <v>68.48484848484848</v>
      </c>
      <c r="J55" s="5">
        <f>SQRT(C55/(B55/144))*3.7</f>
        <v>16.444124536991303</v>
      </c>
      <c r="K55" s="6">
        <f>I55/J55</f>
        <v>4.16470018399525</v>
      </c>
      <c r="L55" s="6">
        <f t="shared" si="6"/>
        <v>17.738088643797578</v>
      </c>
      <c r="M55" s="29" t="s">
        <v>105</v>
      </c>
      <c r="N55" s="29">
        <v>34</v>
      </c>
      <c r="O55" s="33">
        <f>576/(C55/16)</f>
        <v>111.23717561858781</v>
      </c>
    </row>
    <row r="56" spans="1:15" ht="12.75">
      <c r="A56" s="21" t="s">
        <v>114</v>
      </c>
      <c r="B56" s="22">
        <v>604</v>
      </c>
      <c r="C56" s="22">
        <v>82.85</v>
      </c>
      <c r="D56" s="23">
        <f>C56/((B56/144)^1.5)</f>
        <v>9.64452499522196</v>
      </c>
      <c r="E56" s="23">
        <v>12</v>
      </c>
      <c r="F56" s="23">
        <v>9</v>
      </c>
      <c r="G56" s="22">
        <v>8890</v>
      </c>
      <c r="H56" s="23">
        <f>F56/E56</f>
        <v>0.75</v>
      </c>
      <c r="I56" s="23">
        <f>(F56*G56)/1056</f>
        <v>75.76704545454545</v>
      </c>
      <c r="J56" s="23">
        <f>SQRT(C56/(B56/144))*3.7</f>
        <v>16.444124536991303</v>
      </c>
      <c r="K56" s="24">
        <f>I56/J56</f>
        <v>4.607545101237001</v>
      </c>
      <c r="L56" s="24">
        <f t="shared" si="6"/>
        <v>20.996416916392686</v>
      </c>
      <c r="M56" s="24" t="s">
        <v>115</v>
      </c>
      <c r="N56" s="32">
        <v>37</v>
      </c>
      <c r="O56" s="32">
        <f>637/(C56/16)</f>
        <v>123.01750150875077</v>
      </c>
    </row>
    <row r="58" spans="2:15" ht="12.75">
      <c r="B58" t="s">
        <v>10</v>
      </c>
      <c r="C58" t="s">
        <v>11</v>
      </c>
      <c r="D58" s="4" t="s">
        <v>14</v>
      </c>
      <c r="E58" s="4" t="s">
        <v>16</v>
      </c>
      <c r="F58" s="4" t="s">
        <v>17</v>
      </c>
      <c r="G58" s="4"/>
      <c r="H58" s="4" t="s">
        <v>22</v>
      </c>
      <c r="I58" s="4" t="s">
        <v>17</v>
      </c>
      <c r="J58" s="4" t="s">
        <v>25</v>
      </c>
      <c r="K58" s="4" t="s">
        <v>26</v>
      </c>
      <c r="L58" s="4" t="s">
        <v>27</v>
      </c>
      <c r="N58" s="4" t="s">
        <v>109</v>
      </c>
      <c r="O58" s="4" t="s">
        <v>111</v>
      </c>
    </row>
    <row r="59" spans="1:15" ht="12.75">
      <c r="A59" s="1" t="s">
        <v>76</v>
      </c>
      <c r="B59" t="s">
        <v>12</v>
      </c>
      <c r="C59" t="s">
        <v>13</v>
      </c>
      <c r="D59" s="4" t="s">
        <v>15</v>
      </c>
      <c r="E59" s="4" t="s">
        <v>18</v>
      </c>
      <c r="F59" s="4" t="s">
        <v>20</v>
      </c>
      <c r="G59" s="4" t="s">
        <v>21</v>
      </c>
      <c r="H59" s="4" t="s">
        <v>23</v>
      </c>
      <c r="I59" s="4" t="s">
        <v>24</v>
      </c>
      <c r="J59" s="4" t="s">
        <v>24</v>
      </c>
      <c r="K59" s="4" t="s">
        <v>28</v>
      </c>
      <c r="L59" s="4" t="s">
        <v>19</v>
      </c>
      <c r="M59" s="4" t="s">
        <v>104</v>
      </c>
      <c r="N59" s="4" t="s">
        <v>110</v>
      </c>
      <c r="O59" s="4" t="s">
        <v>112</v>
      </c>
    </row>
    <row r="60" spans="1:15" ht="12.75">
      <c r="A60" s="34" t="s">
        <v>83</v>
      </c>
      <c r="B60" s="35">
        <v>315</v>
      </c>
      <c r="C60" s="35">
        <v>34.66</v>
      </c>
      <c r="D60" s="36">
        <f aca="true" t="shared" si="7" ref="D60:D69">C60/((B60/144)^1.5)</f>
        <v>10.712885565765625</v>
      </c>
      <c r="E60" s="36">
        <v>11</v>
      </c>
      <c r="F60" s="36">
        <v>7</v>
      </c>
      <c r="G60" s="37">
        <v>7664</v>
      </c>
      <c r="H60" s="36">
        <f aca="true" t="shared" si="8" ref="H60:H69">F60/E60</f>
        <v>0.6363636363636364</v>
      </c>
      <c r="I60" s="35">
        <f aca="true" t="shared" si="9" ref="I60:I69">(F60*G60)/1056</f>
        <v>50.803030303030305</v>
      </c>
      <c r="J60" s="36">
        <f aca="true" t="shared" si="10" ref="J60:J69">SQRT(C60/(B60/144))*3.7</f>
        <v>14.72793885298085</v>
      </c>
      <c r="K60" s="38">
        <f aca="true" t="shared" si="11" ref="K60:K69">I60/J60</f>
        <v>3.4494324569217003</v>
      </c>
      <c r="L60" s="6">
        <f aca="true" t="shared" si="12" ref="L60:L69">K60^2*((F60*E60^3*G60^2*10^-10*(E60/F60)*0.5)/C60)</f>
        <v>14.761091410632886</v>
      </c>
      <c r="M60" s="39" t="s">
        <v>86</v>
      </c>
      <c r="N60" s="40">
        <v>28.2</v>
      </c>
      <c r="O60" s="41">
        <f>256.7/(C60/16)</f>
        <v>118.4997114829775</v>
      </c>
    </row>
    <row r="61" spans="1:15" ht="12.75">
      <c r="A61" s="22" t="s">
        <v>83</v>
      </c>
      <c r="B61" s="22">
        <v>315</v>
      </c>
      <c r="C61" s="22">
        <v>34.66</v>
      </c>
      <c r="D61" s="23">
        <f t="shared" si="7"/>
        <v>10.712885565765625</v>
      </c>
      <c r="E61" s="23">
        <v>10</v>
      </c>
      <c r="F61" s="23">
        <v>8</v>
      </c>
      <c r="G61" s="22">
        <v>7866</v>
      </c>
      <c r="H61" s="23">
        <f t="shared" si="8"/>
        <v>0.8</v>
      </c>
      <c r="I61" s="30">
        <f t="shared" si="9"/>
        <v>59.59090909090909</v>
      </c>
      <c r="J61" s="23">
        <f t="shared" si="10"/>
        <v>14.72793885298085</v>
      </c>
      <c r="K61" s="24">
        <f t="shared" si="11"/>
        <v>4.046113287525514</v>
      </c>
      <c r="L61" s="24">
        <f t="shared" si="12"/>
        <v>14.612529704995676</v>
      </c>
      <c r="M61" s="31" t="s">
        <v>85</v>
      </c>
      <c r="N61" s="32">
        <v>25.7</v>
      </c>
      <c r="O61" s="32">
        <f>234.5/(C61/16)</f>
        <v>108.25158684362378</v>
      </c>
    </row>
    <row r="62" spans="1:15" ht="12.75">
      <c r="A62" s="34" t="s">
        <v>83</v>
      </c>
      <c r="B62" s="35">
        <v>315</v>
      </c>
      <c r="C62" s="35">
        <v>34.66</v>
      </c>
      <c r="D62" s="36">
        <f t="shared" si="7"/>
        <v>10.712885565765625</v>
      </c>
      <c r="E62" s="36">
        <v>10</v>
      </c>
      <c r="F62" s="36">
        <v>8</v>
      </c>
      <c r="G62" s="37">
        <v>7617</v>
      </c>
      <c r="H62" s="36">
        <f t="shared" si="8"/>
        <v>0.8</v>
      </c>
      <c r="I62" s="35">
        <f t="shared" si="9"/>
        <v>57.70454545454545</v>
      </c>
      <c r="J62" s="36">
        <f t="shared" si="10"/>
        <v>14.72793885298085</v>
      </c>
      <c r="K62" s="38">
        <f t="shared" si="11"/>
        <v>3.918032660956247</v>
      </c>
      <c r="L62" s="6">
        <f t="shared" si="12"/>
        <v>12.848293862355868</v>
      </c>
      <c r="M62" s="39" t="s">
        <v>87</v>
      </c>
      <c r="N62" s="40">
        <v>28.8</v>
      </c>
      <c r="O62" s="41">
        <f>262/(C62/16)</f>
        <v>120.9463358338142</v>
      </c>
    </row>
    <row r="63" spans="1:15" ht="12.75">
      <c r="A63" s="22" t="s">
        <v>77</v>
      </c>
      <c r="B63" s="22">
        <v>315</v>
      </c>
      <c r="C63" s="22">
        <v>30.62</v>
      </c>
      <c r="D63" s="23">
        <f t="shared" si="7"/>
        <v>9.464182228036453</v>
      </c>
      <c r="E63" s="23">
        <v>9.5</v>
      </c>
      <c r="F63" s="23">
        <v>7.5</v>
      </c>
      <c r="G63" s="22">
        <v>7764</v>
      </c>
      <c r="H63" s="23">
        <f t="shared" si="8"/>
        <v>0.7894736842105263</v>
      </c>
      <c r="I63" s="30">
        <f t="shared" si="9"/>
        <v>55.14204545454545</v>
      </c>
      <c r="J63" s="23">
        <f t="shared" si="10"/>
        <v>13.843002151680414</v>
      </c>
      <c r="K63" s="24">
        <f t="shared" si="11"/>
        <v>3.9833877688050285</v>
      </c>
      <c r="L63" s="24">
        <f t="shared" si="12"/>
        <v>12.721416262729043</v>
      </c>
      <c r="M63" s="31" t="s">
        <v>78</v>
      </c>
      <c r="N63" s="32">
        <v>17.9</v>
      </c>
      <c r="O63" s="32">
        <f>198/(C63/16)</f>
        <v>103.46178967994774</v>
      </c>
    </row>
    <row r="64" spans="1:15" ht="12.75">
      <c r="A64" s="34" t="s">
        <v>83</v>
      </c>
      <c r="B64" s="35">
        <v>315</v>
      </c>
      <c r="C64" s="35">
        <v>34.66</v>
      </c>
      <c r="D64" s="36">
        <f t="shared" si="7"/>
        <v>10.712885565765625</v>
      </c>
      <c r="E64" s="36">
        <v>10</v>
      </c>
      <c r="F64" s="36">
        <v>7</v>
      </c>
      <c r="G64" s="37">
        <v>8038</v>
      </c>
      <c r="H64" s="36">
        <f t="shared" si="8"/>
        <v>0.7</v>
      </c>
      <c r="I64" s="35">
        <f t="shared" si="9"/>
        <v>53.28219696969697</v>
      </c>
      <c r="J64" s="36">
        <f t="shared" si="10"/>
        <v>14.72793885298085</v>
      </c>
      <c r="K64" s="38">
        <f t="shared" si="11"/>
        <v>3.6177633205554054</v>
      </c>
      <c r="L64" s="6">
        <f t="shared" si="12"/>
        <v>12.19881800811592</v>
      </c>
      <c r="M64" s="39" t="s">
        <v>84</v>
      </c>
      <c r="N64" s="40">
        <v>23.6</v>
      </c>
      <c r="O64" s="41">
        <f>216/(C64/16)</f>
        <v>99.71148297749568</v>
      </c>
    </row>
    <row r="65" spans="1:15" ht="12.75">
      <c r="A65" s="22" t="s">
        <v>83</v>
      </c>
      <c r="B65" s="22">
        <v>315</v>
      </c>
      <c r="C65" s="22">
        <v>34.66</v>
      </c>
      <c r="D65" s="23">
        <f t="shared" si="7"/>
        <v>10.712885565765625</v>
      </c>
      <c r="E65" s="23">
        <v>9.5</v>
      </c>
      <c r="F65" s="23">
        <v>7.5</v>
      </c>
      <c r="G65" s="22">
        <v>8060</v>
      </c>
      <c r="H65" s="23">
        <f t="shared" si="8"/>
        <v>0.7894736842105263</v>
      </c>
      <c r="I65" s="30">
        <f t="shared" si="9"/>
        <v>57.24431818181818</v>
      </c>
      <c r="J65" s="23">
        <f t="shared" si="10"/>
        <v>14.72793885298085</v>
      </c>
      <c r="K65" s="24">
        <f t="shared" si="11"/>
        <v>3.886784074353504</v>
      </c>
      <c r="L65" s="24">
        <f t="shared" si="12"/>
        <v>11.531525930130847</v>
      </c>
      <c r="M65" s="31" t="s">
        <v>78</v>
      </c>
      <c r="N65" s="32">
        <v>23.3</v>
      </c>
      <c r="O65" s="32">
        <f>213.6/(C65/16)</f>
        <v>98.60357761107906</v>
      </c>
    </row>
    <row r="66" spans="1:15" ht="12.75">
      <c r="A66" s="34" t="s">
        <v>83</v>
      </c>
      <c r="B66" s="35">
        <v>315</v>
      </c>
      <c r="C66" s="35">
        <v>34.66</v>
      </c>
      <c r="D66" s="36">
        <f t="shared" si="7"/>
        <v>10.712885565765625</v>
      </c>
      <c r="E66" s="36">
        <v>10</v>
      </c>
      <c r="F66" s="36">
        <v>7</v>
      </c>
      <c r="G66" s="37">
        <v>7847</v>
      </c>
      <c r="H66" s="36">
        <f t="shared" si="8"/>
        <v>0.7</v>
      </c>
      <c r="I66" s="35">
        <f t="shared" si="9"/>
        <v>52.016098484848484</v>
      </c>
      <c r="J66" s="36">
        <f t="shared" si="10"/>
        <v>14.72793885298085</v>
      </c>
      <c r="K66" s="38">
        <f t="shared" si="11"/>
        <v>3.531797558646214</v>
      </c>
      <c r="L66" s="6">
        <f t="shared" si="12"/>
        <v>11.080015175390061</v>
      </c>
      <c r="M66" s="39" t="s">
        <v>88</v>
      </c>
      <c r="N66" s="40">
        <v>25.9</v>
      </c>
      <c r="O66" s="41">
        <f>236.5/(C66/16)</f>
        <v>109.17484131563764</v>
      </c>
    </row>
    <row r="67" spans="1:15" ht="12.75">
      <c r="A67" s="22" t="s">
        <v>80</v>
      </c>
      <c r="B67" s="22">
        <v>315</v>
      </c>
      <c r="C67" s="22">
        <v>34.66</v>
      </c>
      <c r="D67" s="23">
        <f t="shared" si="7"/>
        <v>10.712885565765625</v>
      </c>
      <c r="E67" s="23">
        <v>12</v>
      </c>
      <c r="F67" s="23">
        <v>10</v>
      </c>
      <c r="G67" s="22">
        <v>5424</v>
      </c>
      <c r="H67" s="23">
        <f t="shared" si="8"/>
        <v>0.8333333333333334</v>
      </c>
      <c r="I67" s="30">
        <f t="shared" si="9"/>
        <v>51.36363636363637</v>
      </c>
      <c r="J67" s="23">
        <f t="shared" si="10"/>
        <v>14.72793885298085</v>
      </c>
      <c r="K67" s="24">
        <f t="shared" si="11"/>
        <v>3.487496578874013</v>
      </c>
      <c r="L67" s="24">
        <f t="shared" si="12"/>
        <v>10.70368629793776</v>
      </c>
      <c r="M67" s="31" t="s">
        <v>82</v>
      </c>
      <c r="N67" s="32">
        <v>23.6</v>
      </c>
      <c r="O67" s="32">
        <f>216/(C67/16)</f>
        <v>99.71148297749568</v>
      </c>
    </row>
    <row r="68" spans="1:15" ht="12.75">
      <c r="A68" s="34" t="s">
        <v>80</v>
      </c>
      <c r="B68" s="35">
        <v>315</v>
      </c>
      <c r="C68" s="35">
        <v>34.66</v>
      </c>
      <c r="D68" s="36">
        <f t="shared" si="7"/>
        <v>10.712885565765625</v>
      </c>
      <c r="E68" s="36">
        <v>12</v>
      </c>
      <c r="F68" s="36">
        <v>8</v>
      </c>
      <c r="G68" s="37">
        <v>5844</v>
      </c>
      <c r="H68" s="36">
        <f t="shared" si="8"/>
        <v>0.6666666666666666</v>
      </c>
      <c r="I68" s="35">
        <f t="shared" si="9"/>
        <v>44.27272727272727</v>
      </c>
      <c r="J68" s="36">
        <f t="shared" si="10"/>
        <v>14.72793885298085</v>
      </c>
      <c r="K68" s="38">
        <f t="shared" si="11"/>
        <v>3.0060368741799013</v>
      </c>
      <c r="L68" s="6">
        <f t="shared" si="12"/>
        <v>9.231567551581424</v>
      </c>
      <c r="M68" s="39" t="s">
        <v>81</v>
      </c>
      <c r="N68" s="40">
        <v>21.5</v>
      </c>
      <c r="O68" s="41">
        <f>199.5/(C68/16)</f>
        <v>92.09463358338142</v>
      </c>
    </row>
    <row r="69" spans="1:15" ht="12.75">
      <c r="A69" s="22" t="s">
        <v>80</v>
      </c>
      <c r="B69" s="22">
        <v>315</v>
      </c>
      <c r="C69" s="22">
        <v>34.66</v>
      </c>
      <c r="D69" s="23">
        <f t="shared" si="7"/>
        <v>10.712885565765625</v>
      </c>
      <c r="E69" s="23">
        <v>11</v>
      </c>
      <c r="F69" s="23">
        <v>8</v>
      </c>
      <c r="G69" s="22">
        <v>6090</v>
      </c>
      <c r="H69" s="23">
        <f t="shared" si="8"/>
        <v>0.7272727272727273</v>
      </c>
      <c r="I69" s="30">
        <f t="shared" si="9"/>
        <v>46.13636363636363</v>
      </c>
      <c r="J69" s="23">
        <f t="shared" si="10"/>
        <v>14.72793885298085</v>
      </c>
      <c r="K69" s="24">
        <f t="shared" si="11"/>
        <v>3.13257436067002</v>
      </c>
      <c r="L69" s="24">
        <f t="shared" si="12"/>
        <v>7.686870239488472</v>
      </c>
      <c r="M69" s="31" t="s">
        <v>119</v>
      </c>
      <c r="N69" s="32">
        <v>19.8</v>
      </c>
      <c r="O69" s="32">
        <f>183/(C69/16)</f>
        <v>84.47778418926717</v>
      </c>
    </row>
    <row r="70" spans="1:15" ht="12.75">
      <c r="A70" s="34" t="s">
        <v>79</v>
      </c>
      <c r="B70" s="35">
        <v>315</v>
      </c>
      <c r="C70" s="35">
        <v>34.66</v>
      </c>
      <c r="D70" s="36">
        <f>C70/((B70/144)^1.5)</f>
        <v>10.712885565765625</v>
      </c>
      <c r="E70" s="36">
        <v>9.5</v>
      </c>
      <c r="F70" s="36">
        <v>7.5</v>
      </c>
      <c r="G70" s="37">
        <v>6816</v>
      </c>
      <c r="H70" s="36">
        <f>F70/E70</f>
        <v>0.7894736842105263</v>
      </c>
      <c r="I70" s="35">
        <f>(F70*G70)/1056</f>
        <v>48.40909090909091</v>
      </c>
      <c r="J70" s="36">
        <f>SQRT(C70/(B70/144))*3.7</f>
        <v>14.72793885298085</v>
      </c>
      <c r="K70" s="38">
        <f>I70/J70</f>
        <v>3.2868883685847994</v>
      </c>
      <c r="L70" s="6">
        <f>K70^2*((F70*E70^3*G70^2*10^-10*(E70/F70)*0.5)/C70)</f>
        <v>5.897459128042538</v>
      </c>
      <c r="M70" s="39" t="s">
        <v>78</v>
      </c>
      <c r="N70" s="40">
        <v>13.85</v>
      </c>
      <c r="O70" s="41">
        <f>130.5/(C70/16)</f>
        <v>60.24235429890364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K13" sqref="K13"/>
    </sheetView>
  </sheetViews>
  <sheetFormatPr defaultColWidth="11.00390625" defaultRowHeight="12.75"/>
  <cols>
    <col min="1" max="1" width="37.125" style="0" customWidth="1"/>
    <col min="2" max="2" width="6.125" style="0" bestFit="1" customWidth="1"/>
    <col min="3" max="3" width="6.625" style="0" bestFit="1" customWidth="1"/>
    <col min="4" max="4" width="8.125" style="0" bestFit="1" customWidth="1"/>
    <col min="5" max="5" width="7.75390625" style="0" bestFit="1" customWidth="1"/>
    <col min="6" max="6" width="6.00390625" style="0" bestFit="1" customWidth="1"/>
    <col min="7" max="7" width="7.625" style="0" bestFit="1" customWidth="1"/>
    <col min="8" max="8" width="5.375" style="0" bestFit="1" customWidth="1"/>
    <col min="9" max="10" width="6.00390625" style="0" bestFit="1" customWidth="1"/>
    <col min="11" max="11" width="8.875" style="0" bestFit="1" customWidth="1"/>
    <col min="12" max="12" width="11.00390625" style="0" bestFit="1" customWidth="1"/>
    <col min="13" max="13" width="12.75390625" style="0" bestFit="1" customWidth="1"/>
    <col min="14" max="14" width="4.75390625" style="0" bestFit="1" customWidth="1"/>
    <col min="15" max="15" width="7.625" style="0" bestFit="1" customWidth="1"/>
  </cols>
  <sheetData>
    <row r="1" ht="12.75">
      <c r="A1" t="s">
        <v>37</v>
      </c>
    </row>
    <row r="2" ht="12.75">
      <c r="A2" s="49" t="s">
        <v>42</v>
      </c>
    </row>
    <row r="3" ht="12.75">
      <c r="A3" s="51" t="s">
        <v>45</v>
      </c>
    </row>
    <row r="5" spans="2:15" ht="12.75">
      <c r="B5" t="s">
        <v>10</v>
      </c>
      <c r="C5" t="s">
        <v>11</v>
      </c>
      <c r="D5" s="4" t="s">
        <v>14</v>
      </c>
      <c r="E5" s="4" t="s">
        <v>16</v>
      </c>
      <c r="F5" s="4" t="s">
        <v>17</v>
      </c>
      <c r="G5" s="4"/>
      <c r="H5" s="4" t="s">
        <v>22</v>
      </c>
      <c r="I5" s="4" t="s">
        <v>17</v>
      </c>
      <c r="J5" s="4" t="s">
        <v>25</v>
      </c>
      <c r="K5" s="4" t="s">
        <v>26</v>
      </c>
      <c r="L5" s="4" t="s">
        <v>27</v>
      </c>
      <c r="N5" s="4" t="s">
        <v>109</v>
      </c>
      <c r="O5" s="4" t="s">
        <v>111</v>
      </c>
    </row>
    <row r="6" spans="1:15" ht="12.75">
      <c r="A6" s="1" t="s">
        <v>76</v>
      </c>
      <c r="B6" t="s">
        <v>12</v>
      </c>
      <c r="C6" t="s">
        <v>13</v>
      </c>
      <c r="D6" s="4" t="s">
        <v>15</v>
      </c>
      <c r="E6" s="4" t="s">
        <v>18</v>
      </c>
      <c r="F6" s="4" t="s">
        <v>20</v>
      </c>
      <c r="G6" s="4" t="s">
        <v>21</v>
      </c>
      <c r="H6" s="4" t="s">
        <v>23</v>
      </c>
      <c r="I6" s="4" t="s">
        <v>24</v>
      </c>
      <c r="J6" s="4" t="s">
        <v>24</v>
      </c>
      <c r="K6" s="4" t="s">
        <v>28</v>
      </c>
      <c r="L6" s="4" t="s">
        <v>19</v>
      </c>
      <c r="M6" s="4" t="s">
        <v>104</v>
      </c>
      <c r="N6" s="4" t="s">
        <v>110</v>
      </c>
      <c r="O6" s="4" t="s">
        <v>112</v>
      </c>
    </row>
    <row r="7" spans="1:15" ht="12.75">
      <c r="A7" s="34" t="s">
        <v>38</v>
      </c>
      <c r="B7" s="35">
        <v>315</v>
      </c>
      <c r="C7" s="35">
        <v>34.66</v>
      </c>
      <c r="D7" s="36">
        <f>C7/((B7/144)^1.5)</f>
        <v>10.712885565765625</v>
      </c>
      <c r="E7" s="36">
        <v>11</v>
      </c>
      <c r="F7" s="36">
        <v>7</v>
      </c>
      <c r="G7" s="37">
        <v>7665</v>
      </c>
      <c r="H7" s="36">
        <f>F7/E7</f>
        <v>0.6363636363636364</v>
      </c>
      <c r="I7" s="44">
        <f>(F7*G7)/1056</f>
        <v>50.80965909090909</v>
      </c>
      <c r="J7" s="36">
        <f>SQRT(C7/(B7/144))*3.7</f>
        <v>14.72793885298085</v>
      </c>
      <c r="K7" s="38">
        <f>I7/J7</f>
        <v>3.4498825394447854</v>
      </c>
      <c r="L7" s="6">
        <f>K7^2*((F7*E7^3*G7^2*10^-10*(E7/F7)*0.5)/C7)</f>
        <v>14.768797037306404</v>
      </c>
      <c r="M7" s="39" t="s">
        <v>86</v>
      </c>
      <c r="N7" s="50">
        <v>28.2</v>
      </c>
      <c r="O7" s="41">
        <f>256.7/(C7/16)</f>
        <v>118.4997114829775</v>
      </c>
    </row>
    <row r="8" spans="1:15" ht="12.75">
      <c r="A8" s="22" t="s">
        <v>38</v>
      </c>
      <c r="B8" s="22">
        <v>315</v>
      </c>
      <c r="C8" s="22">
        <v>34.66</v>
      </c>
      <c r="D8" s="23">
        <f>C8/((B8/144)^1.5)</f>
        <v>10.712885565765625</v>
      </c>
      <c r="E8" s="23">
        <v>10</v>
      </c>
      <c r="F8" s="23">
        <v>8</v>
      </c>
      <c r="G8" s="22">
        <v>7866</v>
      </c>
      <c r="H8" s="23">
        <f>F8/E8</f>
        <v>0.8</v>
      </c>
      <c r="I8" s="45">
        <f>(F8*G8)/1056</f>
        <v>59.59090909090909</v>
      </c>
      <c r="J8" s="23">
        <f>SQRT(C8/(B8/144))*3.7</f>
        <v>14.72793885298085</v>
      </c>
      <c r="K8" s="24">
        <f>I8/J8</f>
        <v>4.046113287525514</v>
      </c>
      <c r="L8" s="24">
        <f>K8^2*((F8*E8^3*G8^2*10^-10*(E8/F8)*0.5)/C8)</f>
        <v>14.612529704995676</v>
      </c>
      <c r="M8" s="31" t="s">
        <v>85</v>
      </c>
      <c r="N8" s="50">
        <v>25.7</v>
      </c>
      <c r="O8" s="32">
        <f>234.5/(C8/16)</f>
        <v>108.25158684362378</v>
      </c>
    </row>
    <row r="9" spans="1:15" ht="12.75">
      <c r="A9" t="s">
        <v>46</v>
      </c>
      <c r="B9">
        <v>315</v>
      </c>
      <c r="C9" s="4">
        <v>35.2</v>
      </c>
      <c r="D9" s="36">
        <f>C9/((B9/144)^1.5)</f>
        <v>10.879791457442298</v>
      </c>
      <c r="E9" s="36">
        <v>11</v>
      </c>
      <c r="F9" s="36">
        <v>7</v>
      </c>
      <c r="G9">
        <v>7600</v>
      </c>
      <c r="H9" s="36">
        <f>F9/E9</f>
        <v>0.6363636363636364</v>
      </c>
      <c r="I9" s="44">
        <f>(F9*G9)/1056</f>
        <v>50.378787878787875</v>
      </c>
      <c r="J9">
        <f>SQRT(C9/(B9/144))*3.7</f>
        <v>14.842225478103247</v>
      </c>
      <c r="K9" s="38">
        <f>I9/J9</f>
        <v>3.3942880030431932</v>
      </c>
      <c r="L9" s="6">
        <f>K9^2*((F9*E9^3*G9^2*10^-10*(E9/F9)*0.5)/C9)</f>
        <v>13.83957151913447</v>
      </c>
      <c r="M9" s="39" t="s">
        <v>86</v>
      </c>
      <c r="N9" s="50">
        <v>30</v>
      </c>
      <c r="O9" s="41">
        <v>123</v>
      </c>
    </row>
    <row r="10" spans="1:15" ht="12.75">
      <c r="A10" s="22" t="s">
        <v>43</v>
      </c>
      <c r="B10" s="22">
        <v>315</v>
      </c>
      <c r="C10" s="22">
        <v>34.66</v>
      </c>
      <c r="D10" s="23">
        <f>C10/((B10/144)^1.5)</f>
        <v>10.712885565765625</v>
      </c>
      <c r="E10" s="23">
        <v>11</v>
      </c>
      <c r="F10" s="23">
        <v>8.5</v>
      </c>
      <c r="G10" s="22">
        <v>6820</v>
      </c>
      <c r="H10" s="23">
        <f>F10/E10</f>
        <v>0.7727272727272727</v>
      </c>
      <c r="I10" s="45">
        <f>(F10*G10)/1056</f>
        <v>54.895833333333336</v>
      </c>
      <c r="J10" s="23">
        <f>SQRT(C10/(B10/144))*3.7</f>
        <v>14.72793885298085</v>
      </c>
      <c r="K10" s="24">
        <f>I10/J10</f>
        <v>3.7273262661748987</v>
      </c>
      <c r="L10" s="24">
        <f>K10^2*((F10*E10^3*G10^2*10^-10*(E10/F10)*0.5)/C10)</f>
        <v>13.648211861299012</v>
      </c>
      <c r="M10" s="31" t="s">
        <v>36</v>
      </c>
      <c r="N10" s="50">
        <v>27</v>
      </c>
      <c r="O10" s="32">
        <v>115</v>
      </c>
    </row>
    <row r="11" spans="1:15" ht="12.75">
      <c r="A11" t="s">
        <v>38</v>
      </c>
      <c r="B11">
        <v>315</v>
      </c>
      <c r="C11" s="4">
        <v>34.66</v>
      </c>
      <c r="D11" s="36">
        <f>C11/((B11/144)^1.5)</f>
        <v>10.712885565765625</v>
      </c>
      <c r="E11" s="36">
        <v>10</v>
      </c>
      <c r="F11" s="36">
        <v>8</v>
      </c>
      <c r="G11">
        <v>7620</v>
      </c>
      <c r="H11" s="36">
        <f>F11/E11</f>
        <v>0.8</v>
      </c>
      <c r="I11" s="44">
        <f>(F11*G11)/1056</f>
        <v>57.72727272727273</v>
      </c>
      <c r="J11">
        <f>SQRT(C11/(B11/144))*3.7</f>
        <v>14.72793885298085</v>
      </c>
      <c r="K11" s="38">
        <f>I11/J11</f>
        <v>3.9195758010353945</v>
      </c>
      <c r="L11" s="6">
        <f>K11^2*((F11*E11^3*G11^2*10^-10*(E11/F11)*0.5)/C11)</f>
        <v>12.868547326584519</v>
      </c>
      <c r="M11" s="39" t="s">
        <v>87</v>
      </c>
      <c r="N11" s="50">
        <v>28.8</v>
      </c>
      <c r="O11" s="41">
        <f>262/(C11/16)</f>
        <v>120.9463358338142</v>
      </c>
    </row>
    <row r="12" spans="1:15" ht="12.75">
      <c r="A12" s="22" t="s">
        <v>43</v>
      </c>
      <c r="B12" s="22">
        <v>315</v>
      </c>
      <c r="C12" s="22">
        <v>34.66</v>
      </c>
      <c r="D12" s="23">
        <f>C12/((B12/144)^1.5)</f>
        <v>10.712885565765625</v>
      </c>
      <c r="E12" s="23">
        <v>11</v>
      </c>
      <c r="F12" s="23">
        <v>8</v>
      </c>
      <c r="G12" s="22">
        <v>6900</v>
      </c>
      <c r="H12" s="23">
        <f>F12/E12</f>
        <v>0.7272727272727273</v>
      </c>
      <c r="I12" s="45">
        <f>(F12*G12)/1056</f>
        <v>52.27272727272727</v>
      </c>
      <c r="J12" s="23">
        <f>SQRT(C12/(B12/144))*3.7</f>
        <v>14.72793885298085</v>
      </c>
      <c r="K12" s="24">
        <f>I12/J12</f>
        <v>3.5492221820399243</v>
      </c>
      <c r="L12" s="24">
        <f>K12^2*((F12*E12^3*G12^2*10^-10*(E12/F12)*0.5)/C12)</f>
        <v>12.667086677215744</v>
      </c>
      <c r="M12" s="31" t="s">
        <v>35</v>
      </c>
      <c r="N12" s="50">
        <v>27</v>
      </c>
      <c r="O12" s="32">
        <v>112</v>
      </c>
    </row>
    <row r="13" spans="1:15" ht="12.75">
      <c r="A13" t="s">
        <v>46</v>
      </c>
      <c r="B13">
        <v>315</v>
      </c>
      <c r="C13" s="4">
        <v>35.2</v>
      </c>
      <c r="D13" s="36">
        <f>C13/((B13/144)^1.5)</f>
        <v>10.879791457442298</v>
      </c>
      <c r="E13" s="36">
        <v>10</v>
      </c>
      <c r="F13" s="36">
        <v>8</v>
      </c>
      <c r="G13">
        <v>7590</v>
      </c>
      <c r="H13" s="36">
        <f>F13/E13</f>
        <v>0.8</v>
      </c>
      <c r="I13" s="44">
        <f>(F13*G13)/1056</f>
        <v>57.5</v>
      </c>
      <c r="J13">
        <f>SQRT(C13/(B13/144))*3.7</f>
        <v>14.842225478103247</v>
      </c>
      <c r="K13" s="38">
        <f>I13/J13</f>
        <v>3.874082096706442</v>
      </c>
      <c r="L13" s="6">
        <f>K13^2*((F13*E13^3*G13^2*10^-10*(E13/F13)*0.5)/C13)</f>
        <v>12.28141854330081</v>
      </c>
      <c r="M13" s="39" t="s">
        <v>87</v>
      </c>
      <c r="N13" s="50">
        <v>30</v>
      </c>
      <c r="O13" s="41">
        <v>124</v>
      </c>
    </row>
    <row r="14" spans="1:15" ht="12.75">
      <c r="A14" s="51" t="s">
        <v>38</v>
      </c>
      <c r="B14" s="51">
        <v>315</v>
      </c>
      <c r="C14" s="51">
        <v>34.66</v>
      </c>
      <c r="D14" s="52">
        <f>C14/((B14/144)^1.5)</f>
        <v>10.712885565765625</v>
      </c>
      <c r="E14" s="52">
        <v>10</v>
      </c>
      <c r="F14" s="52">
        <v>7</v>
      </c>
      <c r="G14" s="51">
        <v>8040</v>
      </c>
      <c r="H14" s="52">
        <f>F14/E14</f>
        <v>0.7</v>
      </c>
      <c r="I14" s="53">
        <f>(F14*G14)/1056</f>
        <v>53.29545454545455</v>
      </c>
      <c r="J14" s="52">
        <f>SQRT(C14/(B14/144))*3.7</f>
        <v>14.72793885298085</v>
      </c>
      <c r="K14" s="54">
        <f>I14/J14</f>
        <v>3.618663485601575</v>
      </c>
      <c r="L14" s="54">
        <f>K14^2*((F14*E14^3*G14^2*10^-10*(E14/F14)*0.5)/C14)</f>
        <v>12.210963687831004</v>
      </c>
      <c r="M14" s="55" t="s">
        <v>84</v>
      </c>
      <c r="N14" s="56">
        <v>23.6</v>
      </c>
      <c r="O14" s="56">
        <f>216/(C14/16)</f>
        <v>99.71148297749568</v>
      </c>
    </row>
    <row r="15" spans="1:15" ht="12.75">
      <c r="A15" s="51" t="s">
        <v>46</v>
      </c>
      <c r="B15" s="51">
        <v>315</v>
      </c>
      <c r="C15" s="51">
        <v>35.2</v>
      </c>
      <c r="D15" s="52">
        <f>C15/((B15/144)^1.5)</f>
        <v>10.879791457442298</v>
      </c>
      <c r="E15" s="52">
        <v>10</v>
      </c>
      <c r="F15" s="52">
        <v>7</v>
      </c>
      <c r="G15" s="51">
        <v>8090</v>
      </c>
      <c r="H15" s="52">
        <f>F15/E15</f>
        <v>0.7</v>
      </c>
      <c r="I15" s="53">
        <f>(F15*G15)/1056</f>
        <v>53.62689393939394</v>
      </c>
      <c r="J15" s="52">
        <f>SQRT(C15/(B15/144))*3.7</f>
        <v>14.842225478103247</v>
      </c>
      <c r="K15" s="54">
        <f>I15/J15</f>
        <v>3.613130255870978</v>
      </c>
      <c r="L15" s="54">
        <f>K15^2*((F15*E15^3*G15^2*10^-10*(E15/F15)*0.5)/C15)</f>
        <v>12.136448602898463</v>
      </c>
      <c r="M15" s="55" t="s">
        <v>84</v>
      </c>
      <c r="N15" s="56">
        <v>25</v>
      </c>
      <c r="O15" s="56">
        <v>104</v>
      </c>
    </row>
    <row r="16" spans="1:15" ht="12.75">
      <c r="A16" s="51" t="s">
        <v>34</v>
      </c>
      <c r="B16" s="51">
        <v>315</v>
      </c>
      <c r="C16" s="51">
        <v>34.66</v>
      </c>
      <c r="D16" s="52">
        <f>C16/((B16/144)^1.5)</f>
        <v>10.712885565765625</v>
      </c>
      <c r="E16" s="52">
        <v>11</v>
      </c>
      <c r="F16" s="52">
        <v>8.5</v>
      </c>
      <c r="G16" s="51">
        <v>6570</v>
      </c>
      <c r="H16" s="52">
        <f>F16/E16</f>
        <v>0.7727272727272727</v>
      </c>
      <c r="I16" s="53">
        <f>(F16*G16)/1056</f>
        <v>52.88352272727273</v>
      </c>
      <c r="J16" s="52">
        <f>SQRT(C16/(B16/144))*3.7</f>
        <v>14.72793885298085</v>
      </c>
      <c r="K16" s="54">
        <f>I16/J16</f>
        <v>3.5906940716670213</v>
      </c>
      <c r="L16" s="54">
        <f>K16^2*((F16*E16^3*G16^2*10^-10*(E16/F16)*0.5)/C16)</f>
        <v>11.754380227500638</v>
      </c>
      <c r="M16" s="55" t="s">
        <v>36</v>
      </c>
      <c r="N16" s="56">
        <v>25</v>
      </c>
      <c r="O16" s="56">
        <v>105</v>
      </c>
    </row>
    <row r="17" spans="1:15" ht="12.75">
      <c r="A17" s="22" t="s">
        <v>38</v>
      </c>
      <c r="B17" s="22">
        <v>315</v>
      </c>
      <c r="C17" s="22">
        <v>34.66</v>
      </c>
      <c r="D17" s="23">
        <f>C17/((B17/144)^1.5)</f>
        <v>10.712885565765625</v>
      </c>
      <c r="E17" s="23">
        <v>9.5</v>
      </c>
      <c r="F17" s="23">
        <v>7.5</v>
      </c>
      <c r="G17" s="22">
        <v>8060</v>
      </c>
      <c r="H17" s="23">
        <f>F17/E17</f>
        <v>0.7894736842105263</v>
      </c>
      <c r="I17" s="45">
        <f>(F17*G17)/1056</f>
        <v>57.24431818181818</v>
      </c>
      <c r="J17" s="23">
        <f>SQRT(C17/(B17/144))*3.7</f>
        <v>14.72793885298085</v>
      </c>
      <c r="K17" s="24">
        <f>I17/J17</f>
        <v>3.886784074353504</v>
      </c>
      <c r="L17" s="24">
        <f>K17^2*((F17*E17^3*G17^2*10^-10*(E17/F17)*0.5)/C17)</f>
        <v>11.531525930130847</v>
      </c>
      <c r="M17" s="31" t="s">
        <v>78</v>
      </c>
      <c r="N17" s="32">
        <v>23.3</v>
      </c>
      <c r="O17" s="32">
        <f>213.6/(C17/16)</f>
        <v>98.60357761107906</v>
      </c>
    </row>
    <row r="18" spans="1:15" ht="12.75">
      <c r="A18" t="s">
        <v>46</v>
      </c>
      <c r="B18">
        <v>315</v>
      </c>
      <c r="C18" s="4">
        <v>35.2</v>
      </c>
      <c r="D18" s="36">
        <f>C18/((B18/144)^1.5)</f>
        <v>10.879791457442298</v>
      </c>
      <c r="E18" s="36">
        <v>9.5</v>
      </c>
      <c r="F18" s="36">
        <v>7.5</v>
      </c>
      <c r="G18">
        <v>8120</v>
      </c>
      <c r="H18" s="36">
        <f>F18/E18</f>
        <v>0.7894736842105263</v>
      </c>
      <c r="I18" s="44">
        <f>(F18*G18)/1056</f>
        <v>57.67045454545455</v>
      </c>
      <c r="J18">
        <f>SQRT(C18/(B18/144))*3.7</f>
        <v>14.842225478103247</v>
      </c>
      <c r="K18" s="38">
        <f>I18/J18</f>
        <v>3.8855665297994455</v>
      </c>
      <c r="L18" s="6">
        <f>K18^2*((F18*E18^3*G18^2*10^-10*(E18/F18)*0.5)/C18)</f>
        <v>11.517083603991475</v>
      </c>
      <c r="M18" s="39" t="s">
        <v>78</v>
      </c>
      <c r="N18" s="29">
        <v>25</v>
      </c>
      <c r="O18" s="41">
        <v>103</v>
      </c>
    </row>
    <row r="19" spans="1:15" ht="12.75">
      <c r="A19" s="51" t="s">
        <v>43</v>
      </c>
      <c r="B19" s="51">
        <v>315</v>
      </c>
      <c r="C19" s="51">
        <v>34.66</v>
      </c>
      <c r="D19" s="52">
        <f>C19/((B19/144)^1.5)</f>
        <v>10.712885565765625</v>
      </c>
      <c r="E19" s="52">
        <v>11</v>
      </c>
      <c r="F19" s="52">
        <v>7</v>
      </c>
      <c r="G19" s="51">
        <v>7160</v>
      </c>
      <c r="H19" s="52">
        <f>F19/E19</f>
        <v>0.6363636363636364</v>
      </c>
      <c r="I19" s="53">
        <f>(F19*G19)/1056</f>
        <v>47.46212121212121</v>
      </c>
      <c r="J19" s="52">
        <f>SQRT(C19/(B19/144))*3.7</f>
        <v>14.72793885298085</v>
      </c>
      <c r="K19" s="54">
        <f>I19/J19</f>
        <v>3.222590865286975</v>
      </c>
      <c r="L19" s="54">
        <f>K19^2*((F19*E19^3*G19^2*10^-10*(E19/F19)*0.5)/C19)</f>
        <v>11.244718159449526</v>
      </c>
      <c r="M19" s="55" t="s">
        <v>86</v>
      </c>
      <c r="N19" s="56">
        <v>24</v>
      </c>
      <c r="O19" s="56">
        <v>102</v>
      </c>
    </row>
    <row r="20" spans="1:15" ht="12.75">
      <c r="A20" s="22" t="s">
        <v>43</v>
      </c>
      <c r="B20" s="22">
        <v>315</v>
      </c>
      <c r="C20" s="22">
        <v>34.66</v>
      </c>
      <c r="D20" s="23">
        <f>C20/((B20/144)^1.5)</f>
        <v>10.712885565765625</v>
      </c>
      <c r="E20" s="23">
        <v>11</v>
      </c>
      <c r="F20" s="23">
        <v>8</v>
      </c>
      <c r="G20" s="22">
        <v>6680</v>
      </c>
      <c r="H20" s="23">
        <f>F20/E20</f>
        <v>0.7272727272727273</v>
      </c>
      <c r="I20" s="45">
        <f>(F20*G20)/1056</f>
        <v>50.60606060606061</v>
      </c>
      <c r="J20" s="23">
        <f>SQRT(C20/(B20/144))*3.7</f>
        <v>14.72793885298085</v>
      </c>
      <c r="K20" s="24">
        <f>I20/J20</f>
        <v>3.436058576235753</v>
      </c>
      <c r="L20" s="24">
        <f>K20^2*((F20*E20^3*G20^2*10^-10*(E20/F20)*0.5)/C20)</f>
        <v>11.127208586937833</v>
      </c>
      <c r="M20" s="31" t="s">
        <v>119</v>
      </c>
      <c r="N20" s="50">
        <v>29</v>
      </c>
      <c r="O20" s="32">
        <v>120</v>
      </c>
    </row>
    <row r="21" spans="1:15" ht="12.75">
      <c r="A21" s="34" t="s">
        <v>39</v>
      </c>
      <c r="B21" s="35">
        <v>315</v>
      </c>
      <c r="C21" s="35">
        <v>34.66</v>
      </c>
      <c r="D21" s="36">
        <f>C21/((B21/144)^1.5)</f>
        <v>10.712885565765625</v>
      </c>
      <c r="E21" s="36">
        <v>12</v>
      </c>
      <c r="F21" s="36">
        <v>10</v>
      </c>
      <c r="G21" s="37">
        <v>5475</v>
      </c>
      <c r="H21" s="36">
        <f>F21/E21</f>
        <v>0.8333333333333334</v>
      </c>
      <c r="I21" s="44">
        <f>(F21*G21)/1056</f>
        <v>51.84659090909091</v>
      </c>
      <c r="J21" s="36">
        <f>SQRT(C21/(B21/144))*3.7</f>
        <v>14.72793885298085</v>
      </c>
      <c r="K21" s="38">
        <f>I21/J21</f>
        <v>3.520288305555903</v>
      </c>
      <c r="L21" s="6">
        <f>K21^2*((F21*E21^3*G21^2*10^-10*(E21/F21)*0.5)/C21)</f>
        <v>11.11197211745339</v>
      </c>
      <c r="M21" s="39" t="s">
        <v>82</v>
      </c>
      <c r="N21" s="40">
        <v>23.6</v>
      </c>
      <c r="O21" s="41">
        <f>216/(C21/16)</f>
        <v>99.71148297749568</v>
      </c>
    </row>
    <row r="22" spans="1:15" ht="12.75">
      <c r="A22" s="22" t="s">
        <v>38</v>
      </c>
      <c r="B22" s="22">
        <v>315</v>
      </c>
      <c r="C22" s="22">
        <v>34.66</v>
      </c>
      <c r="D22" s="23">
        <f>C22/((B22/144)^1.5)</f>
        <v>10.712885565765625</v>
      </c>
      <c r="E22" s="23">
        <v>10</v>
      </c>
      <c r="F22" s="23">
        <v>7</v>
      </c>
      <c r="G22" s="22">
        <v>7850</v>
      </c>
      <c r="H22" s="23">
        <f>F22/E22</f>
        <v>0.7</v>
      </c>
      <c r="I22" s="45">
        <f>(F22*G22)/1056</f>
        <v>52.03598484848485</v>
      </c>
      <c r="J22" s="23">
        <f>SQRT(C22/(B22/144))*3.7</f>
        <v>14.72793885298085</v>
      </c>
      <c r="K22" s="24">
        <f>I22/J22</f>
        <v>3.533147806215468</v>
      </c>
      <c r="L22" s="24">
        <f>K22^2*((F22*E22^3*G22^2*10^-10*(E22/F22)*0.5)/C22)</f>
        <v>11.096968973006025</v>
      </c>
      <c r="M22" s="31" t="s">
        <v>88</v>
      </c>
      <c r="N22" s="50">
        <v>25.9</v>
      </c>
      <c r="O22" s="32">
        <v>109</v>
      </c>
    </row>
    <row r="23" spans="1:15" ht="12.75">
      <c r="A23" s="34" t="s">
        <v>34</v>
      </c>
      <c r="B23" s="35">
        <v>315</v>
      </c>
      <c r="C23" s="35">
        <v>34.66</v>
      </c>
      <c r="D23" s="36">
        <f>C23/((B23/144)^1.5)</f>
        <v>10.712885565765625</v>
      </c>
      <c r="E23" s="36">
        <v>11</v>
      </c>
      <c r="F23" s="36">
        <v>8</v>
      </c>
      <c r="G23" s="37">
        <v>6660</v>
      </c>
      <c r="H23" s="36">
        <f>F23/E23</f>
        <v>0.7272727272727273</v>
      </c>
      <c r="I23" s="44">
        <f>(F23*G23)/1056</f>
        <v>50.45454545454545</v>
      </c>
      <c r="J23" s="36">
        <f>SQRT(C23/(B23/144))*3.7</f>
        <v>14.72793885298085</v>
      </c>
      <c r="K23" s="38">
        <f>I23/J23</f>
        <v>3.4257709757081005</v>
      </c>
      <c r="L23" s="6">
        <f>K23^2*((F23*E23^3*G23^2*10^-10*(E23/F23)*0.5)/C23)</f>
        <v>10.99454588317591</v>
      </c>
      <c r="M23" s="39" t="s">
        <v>35</v>
      </c>
      <c r="N23" s="40">
        <v>24</v>
      </c>
      <c r="O23" s="41">
        <v>101</v>
      </c>
    </row>
    <row r="24" spans="1:15" ht="12.75">
      <c r="A24" s="51" t="s">
        <v>47</v>
      </c>
      <c r="B24" s="51">
        <v>315</v>
      </c>
      <c r="C24" s="51">
        <v>34.66</v>
      </c>
      <c r="D24" s="52">
        <f>C24/((B24/144)^1.5)</f>
        <v>10.712885565765625</v>
      </c>
      <c r="E24" s="52">
        <v>10</v>
      </c>
      <c r="F24" s="52">
        <v>7</v>
      </c>
      <c r="G24" s="51">
        <v>7830</v>
      </c>
      <c r="H24" s="52">
        <f>F24/E24</f>
        <v>0.7</v>
      </c>
      <c r="I24" s="53">
        <f>(F24*G24)/1056</f>
        <v>51.90340909090909</v>
      </c>
      <c r="J24" s="52">
        <f>SQRT(C24/(B24/144))*3.7</f>
        <v>14.72793885298085</v>
      </c>
      <c r="K24" s="54">
        <f>I24/J24</f>
        <v>3.524146155753773</v>
      </c>
      <c r="L24" s="54">
        <f>K24^2*((F24*E24^3*G24^2*10^-10*(E24/F24)*0.5)/C24)</f>
        <v>10.984310301307351</v>
      </c>
      <c r="M24" s="55" t="s">
        <v>88</v>
      </c>
      <c r="N24" s="56">
        <v>25</v>
      </c>
      <c r="O24" s="56">
        <v>105</v>
      </c>
    </row>
    <row r="25" spans="1:15" ht="12.75">
      <c r="A25" t="s">
        <v>47</v>
      </c>
      <c r="B25">
        <v>315</v>
      </c>
      <c r="C25">
        <v>34.66</v>
      </c>
      <c r="D25" s="36">
        <f>C25/((B25/144)^1.5)</f>
        <v>10.712885565765625</v>
      </c>
      <c r="E25" s="36">
        <v>10</v>
      </c>
      <c r="F25" s="36">
        <v>7</v>
      </c>
      <c r="G25">
        <v>7830</v>
      </c>
      <c r="H25" s="36">
        <f>F25/E25</f>
        <v>0.7</v>
      </c>
      <c r="I25" s="44">
        <f>(F25*G25)/1056</f>
        <v>51.90340909090909</v>
      </c>
      <c r="J25">
        <f>SQRT(C25/(B25/144))*3.7</f>
        <v>14.72793885298085</v>
      </c>
      <c r="K25" s="38">
        <f>I25/J25</f>
        <v>3.524146155753773</v>
      </c>
      <c r="L25" s="6">
        <f>K25^2*((F25*E25^3*G25^2*10^-10*(E25/F25)*0.5)/C25)</f>
        <v>10.984310301307351</v>
      </c>
      <c r="M25" t="s">
        <v>84</v>
      </c>
      <c r="N25" s="29">
        <v>23</v>
      </c>
      <c r="O25" s="41">
        <v>95</v>
      </c>
    </row>
    <row r="26" spans="1:15" ht="12.75">
      <c r="A26" s="22" t="s">
        <v>46</v>
      </c>
      <c r="B26" s="22">
        <v>315</v>
      </c>
      <c r="C26" s="22">
        <v>35.2</v>
      </c>
      <c r="D26" s="23">
        <f>C26/((B26/144)^1.5)</f>
        <v>10.879791457442298</v>
      </c>
      <c r="E26" s="23">
        <v>10</v>
      </c>
      <c r="F26" s="23">
        <v>7</v>
      </c>
      <c r="G26" s="22">
        <v>7860</v>
      </c>
      <c r="H26" s="23">
        <f>F26/E26</f>
        <v>0.7</v>
      </c>
      <c r="I26" s="45">
        <f>(F26*G26)/1056</f>
        <v>52.10227272727273</v>
      </c>
      <c r="J26" s="23">
        <f>SQRT(C26/(B26/144))*3.7</f>
        <v>14.842225478103247</v>
      </c>
      <c r="K26" s="24">
        <f>I26/J26</f>
        <v>3.5104083820946714</v>
      </c>
      <c r="L26" s="24">
        <f>K26^2*((F26*E26^3*G26^2*10^-10*(E26/F26)*0.5)/C26)</f>
        <v>10.814033702190219</v>
      </c>
      <c r="M26" s="31" t="s">
        <v>88</v>
      </c>
      <c r="N26" s="50">
        <v>27</v>
      </c>
      <c r="O26" s="32">
        <v>113</v>
      </c>
    </row>
    <row r="27" spans="1:15" ht="12.75">
      <c r="A27" s="8" t="s">
        <v>40</v>
      </c>
      <c r="B27" s="8">
        <v>315</v>
      </c>
      <c r="C27" s="8">
        <v>30.62</v>
      </c>
      <c r="D27" s="9">
        <f>C27/((B27/144)^1.5)</f>
        <v>9.464182228036453</v>
      </c>
      <c r="E27" s="9">
        <v>9.5</v>
      </c>
      <c r="F27" s="9">
        <v>7.5</v>
      </c>
      <c r="G27" s="8">
        <v>7450</v>
      </c>
      <c r="H27" s="9">
        <f>F27/E27</f>
        <v>0.7894736842105263</v>
      </c>
      <c r="I27" s="46">
        <f>(F27*G27)/1056</f>
        <v>52.91193181818182</v>
      </c>
      <c r="J27" s="9">
        <f>SQRT(C27/(B27/144))*3.7</f>
        <v>13.843002151680414</v>
      </c>
      <c r="K27" s="11">
        <f>I27/J27</f>
        <v>3.8222873361150778</v>
      </c>
      <c r="L27" s="11">
        <f>K27^2*((F27*E27^3*G27^2*10^-10*(E27/F27)*0.5)/C27)</f>
        <v>10.784957740367384</v>
      </c>
      <c r="M27" s="47" t="s">
        <v>78</v>
      </c>
      <c r="N27" s="48">
        <v>17.9</v>
      </c>
      <c r="O27" s="48">
        <f>198/(C27/16)</f>
        <v>103.46178967994774</v>
      </c>
    </row>
    <row r="28" spans="1:15" ht="12.75">
      <c r="A28" s="22" t="s">
        <v>43</v>
      </c>
      <c r="B28" s="22">
        <v>315</v>
      </c>
      <c r="C28" s="22">
        <v>34.66</v>
      </c>
      <c r="D28" s="23">
        <f>C28/((B28/144)^1.5)</f>
        <v>10.712885565765625</v>
      </c>
      <c r="E28" s="23">
        <v>10</v>
      </c>
      <c r="F28" s="23">
        <v>8</v>
      </c>
      <c r="G28" s="22">
        <v>7125</v>
      </c>
      <c r="H28" s="23">
        <f>F28/E28</f>
        <v>0.8</v>
      </c>
      <c r="I28" s="45">
        <f>(F28*G28)/1056</f>
        <v>53.97727272727273</v>
      </c>
      <c r="J28" s="23">
        <f>SQRT(C28/(B28/144))*3.7</f>
        <v>14.72793885298085</v>
      </c>
      <c r="K28" s="24">
        <f>I28/J28</f>
        <v>3.664957687976009</v>
      </c>
      <c r="L28" s="24">
        <f>K28^2*((F28*E28^3*G28^2*10^-10*(E28/F28)*0.5)/C28)</f>
        <v>9.836692910319066</v>
      </c>
      <c r="M28" s="31" t="s">
        <v>87</v>
      </c>
      <c r="N28" s="50">
        <v>25</v>
      </c>
      <c r="O28" s="32">
        <v>104</v>
      </c>
    </row>
    <row r="29" spans="1:15" ht="12.75">
      <c r="A29" t="s">
        <v>43</v>
      </c>
      <c r="B29">
        <v>315</v>
      </c>
      <c r="C29">
        <v>34.66</v>
      </c>
      <c r="D29" s="36">
        <f>C29/((B29/144)^1.5)</f>
        <v>10.712885565765625</v>
      </c>
      <c r="E29" s="36">
        <v>11</v>
      </c>
      <c r="F29" s="36">
        <v>7</v>
      </c>
      <c r="G29">
        <v>6910</v>
      </c>
      <c r="H29" s="36">
        <f>F29/E29</f>
        <v>0.6363636363636364</v>
      </c>
      <c r="I29" s="44">
        <f>(F29*G29)/1056</f>
        <v>45.80492424242424</v>
      </c>
      <c r="J29">
        <f>SQRT(C29/(B29/144))*3.7</f>
        <v>14.72793885298085</v>
      </c>
      <c r="K29" s="38">
        <f>I29/J29</f>
        <v>3.1100702345157814</v>
      </c>
      <c r="L29" s="6">
        <f>K29^2*((F29*E29^3*G29^2*10^-10*(E29/F29)*0.5)/C29)</f>
        <v>9.754582247338357</v>
      </c>
      <c r="M29" t="s">
        <v>44</v>
      </c>
      <c r="N29" s="50">
        <v>27</v>
      </c>
      <c r="O29" s="41">
        <v>112</v>
      </c>
    </row>
    <row r="30" spans="1:15" ht="12.75">
      <c r="A30" s="22" t="s">
        <v>34</v>
      </c>
      <c r="B30" s="22">
        <v>315</v>
      </c>
      <c r="C30" s="22">
        <v>34.66</v>
      </c>
      <c r="D30" s="23">
        <f>C30/((B30/144)^1.5)</f>
        <v>10.712885565765625</v>
      </c>
      <c r="E30" s="23">
        <v>11</v>
      </c>
      <c r="F30" s="23">
        <v>8</v>
      </c>
      <c r="G30" s="22">
        <v>6430</v>
      </c>
      <c r="H30" s="23">
        <f>F30/E30</f>
        <v>0.7272727272727273</v>
      </c>
      <c r="I30" s="45">
        <f>(F30*G30)/1056</f>
        <v>48.71212121212121</v>
      </c>
      <c r="J30" s="23">
        <f>SQRT(C30/(B30/144))*3.7</f>
        <v>14.72793885298085</v>
      </c>
      <c r="K30" s="24">
        <f>I30/J30</f>
        <v>3.3074635696401034</v>
      </c>
      <c r="L30" s="24">
        <f>K30^2*((F30*E30^3*G30^2*10^-10*(E30/F30)*0.5)/C30)</f>
        <v>9.552658911767749</v>
      </c>
      <c r="M30" s="31" t="s">
        <v>119</v>
      </c>
      <c r="N30" s="50">
        <v>26</v>
      </c>
      <c r="O30" s="32">
        <v>109</v>
      </c>
    </row>
    <row r="31" spans="1:15" ht="12.75">
      <c r="A31" t="s">
        <v>43</v>
      </c>
      <c r="B31">
        <v>315</v>
      </c>
      <c r="C31">
        <v>34.66</v>
      </c>
      <c r="D31" s="36">
        <f>C31/((B31/144)^1.5)</f>
        <v>10.712885565765625</v>
      </c>
      <c r="E31" s="36">
        <v>9.5</v>
      </c>
      <c r="F31" s="36">
        <v>7.5</v>
      </c>
      <c r="G31">
        <v>7600</v>
      </c>
      <c r="H31" s="36">
        <f>F31/E31</f>
        <v>0.7894736842105263</v>
      </c>
      <c r="I31" s="44">
        <f>(F31*G31)/1056</f>
        <v>53.97727272727273</v>
      </c>
      <c r="J31">
        <f>SQRT(C31/(B31/144))*3.7</f>
        <v>14.72793885298085</v>
      </c>
      <c r="K31" s="38">
        <f>I31/J31</f>
        <v>3.664957687976009</v>
      </c>
      <c r="L31" s="6">
        <f>K31^2*((F31*E31^3*G31^2*10^-10*(E31/F31)*0.5)/C31)</f>
        <v>9.115930003667135</v>
      </c>
      <c r="M31" t="s">
        <v>78</v>
      </c>
      <c r="N31" s="29">
        <v>20</v>
      </c>
      <c r="O31" s="41">
        <v>85</v>
      </c>
    </row>
    <row r="32" spans="1:15" ht="12.75">
      <c r="A32" s="22" t="s">
        <v>39</v>
      </c>
      <c r="B32" s="22">
        <v>315</v>
      </c>
      <c r="C32" s="22">
        <v>34.66</v>
      </c>
      <c r="D32" s="23">
        <f>C32/((B32/144)^1.5)</f>
        <v>10.712885565765625</v>
      </c>
      <c r="E32" s="23">
        <v>12</v>
      </c>
      <c r="F32" s="23">
        <v>8</v>
      </c>
      <c r="G32" s="22">
        <v>5770</v>
      </c>
      <c r="H32" s="23">
        <f>F32/E32</f>
        <v>0.6666666666666666</v>
      </c>
      <c r="I32" s="45">
        <f>(F32*G32)/1056</f>
        <v>43.71212121212121</v>
      </c>
      <c r="J32" s="23">
        <f>SQRT(C32/(B32/144))*3.7</f>
        <v>14.72793885298085</v>
      </c>
      <c r="K32" s="24">
        <f>I32/J32</f>
        <v>2.9679727522275887</v>
      </c>
      <c r="L32" s="24">
        <f>K32^2*((F32*E32^3*G32^2*10^-10*(E32/F32)*0.5)/C32)</f>
        <v>8.772792869419705</v>
      </c>
      <c r="M32" s="31" t="s">
        <v>81</v>
      </c>
      <c r="N32" s="32">
        <v>21.5</v>
      </c>
      <c r="O32" s="32">
        <f>199.5/(C32/16)</f>
        <v>92.09463358338142</v>
      </c>
    </row>
    <row r="33" spans="1:15" ht="12.75">
      <c r="A33" s="34" t="s">
        <v>34</v>
      </c>
      <c r="B33" s="35">
        <v>315</v>
      </c>
      <c r="C33" s="35">
        <v>34.66</v>
      </c>
      <c r="D33" s="36">
        <f>C33/((B33/144)^1.5)</f>
        <v>10.712885565765625</v>
      </c>
      <c r="E33" s="36">
        <v>9.5</v>
      </c>
      <c r="F33" s="36">
        <v>7.5</v>
      </c>
      <c r="G33" s="37">
        <v>7360</v>
      </c>
      <c r="H33" s="36">
        <f>F33/E33</f>
        <v>0.7894736842105263</v>
      </c>
      <c r="I33" s="44">
        <f>(F33*G33)/1056</f>
        <v>52.27272727272727</v>
      </c>
      <c r="J33" s="36">
        <f>SQRT(C33/(B33/144))*3.7</f>
        <v>14.72793885298085</v>
      </c>
      <c r="K33" s="38">
        <f>I33/J33</f>
        <v>3.5492221820399243</v>
      </c>
      <c r="L33" s="6">
        <f>K33^2*((F33*E33^3*G33^2*10^-10*(E33/F33)*0.5)/C33)</f>
        <v>8.017848946499685</v>
      </c>
      <c r="M33" s="39" t="s">
        <v>78</v>
      </c>
      <c r="N33" s="40">
        <v>18</v>
      </c>
      <c r="O33" s="41">
        <v>77</v>
      </c>
    </row>
    <row r="34" spans="1:15" ht="12.75">
      <c r="A34" s="22" t="s">
        <v>34</v>
      </c>
      <c r="B34" s="22">
        <v>315</v>
      </c>
      <c r="C34" s="22">
        <v>34.66</v>
      </c>
      <c r="D34" s="23">
        <f>C34/((B34/144)^1.5)</f>
        <v>10.712885565765625</v>
      </c>
      <c r="E34" s="23">
        <v>10</v>
      </c>
      <c r="F34" s="23">
        <v>7</v>
      </c>
      <c r="G34" s="22">
        <v>7100</v>
      </c>
      <c r="H34" s="23">
        <f>F34/E34</f>
        <v>0.7</v>
      </c>
      <c r="I34" s="45">
        <f>(F34*G34)/1056</f>
        <v>47.06439393939394</v>
      </c>
      <c r="J34" s="23">
        <f>SQRT(C34/(B34/144))*3.7</f>
        <v>14.72793885298085</v>
      </c>
      <c r="K34" s="24">
        <f>I34/J34</f>
        <v>3.1955859139018883</v>
      </c>
      <c r="L34" s="24">
        <f>K34^2*((F34*E34^3*G34^2*10^-10*(E34/F34)*0.5)/C34)</f>
        <v>7.42607172652901</v>
      </c>
      <c r="M34" s="31" t="s">
        <v>88</v>
      </c>
      <c r="N34" s="32">
        <v>20.2</v>
      </c>
      <c r="O34" s="32">
        <v>86</v>
      </c>
    </row>
    <row r="35" spans="1:15" ht="12.75">
      <c r="A35" t="s">
        <v>39</v>
      </c>
      <c r="B35">
        <v>315</v>
      </c>
      <c r="C35">
        <v>34.66</v>
      </c>
      <c r="D35" s="36">
        <f>C35/((B35/144)^1.5)</f>
        <v>10.712885565765625</v>
      </c>
      <c r="E35" s="36">
        <v>11</v>
      </c>
      <c r="F35" s="36">
        <v>8</v>
      </c>
      <c r="G35">
        <v>5975</v>
      </c>
      <c r="H35" s="36">
        <f>F35/E35</f>
        <v>0.7272727272727273</v>
      </c>
      <c r="I35" s="44">
        <f>(F35*G35)/1056</f>
        <v>45.265151515151516</v>
      </c>
      <c r="J35">
        <f>SQRT(C35/(B35/144))*3.7</f>
        <v>14.72793885298085</v>
      </c>
      <c r="K35" s="38">
        <f>I35/J35</f>
        <v>3.0734206576360212</v>
      </c>
      <c r="L35" s="6">
        <f>K35^2*((F35*E35^3*G35^2*10^-10*(E35/F35)*0.5)/C35)</f>
        <v>7.122492782800137</v>
      </c>
      <c r="M35" t="s">
        <v>119</v>
      </c>
      <c r="N35" s="29">
        <v>20</v>
      </c>
      <c r="O35" s="41">
        <f>183/(C35/16)</f>
        <v>84.47778418926717</v>
      </c>
    </row>
    <row r="36" spans="1:15" ht="12.75">
      <c r="A36" s="22" t="s">
        <v>41</v>
      </c>
      <c r="B36" s="22">
        <v>315</v>
      </c>
      <c r="C36" s="22">
        <v>34.66</v>
      </c>
      <c r="D36" s="23">
        <f>C36/((B36/144)^1.5)</f>
        <v>10.712885565765625</v>
      </c>
      <c r="E36" s="23">
        <v>9.5</v>
      </c>
      <c r="F36" s="23">
        <v>7.5</v>
      </c>
      <c r="G36" s="22">
        <v>6775</v>
      </c>
      <c r="H36" s="23">
        <f>F36/E36</f>
        <v>0.7894736842105263</v>
      </c>
      <c r="I36" s="45">
        <f>(F36*G36)/1056</f>
        <v>48.11789772727273</v>
      </c>
      <c r="J36" s="23">
        <f>SQRT(C36/(B36/144))*3.7</f>
        <v>14.72793885298085</v>
      </c>
      <c r="K36" s="24">
        <f>I36/J36</f>
        <v>3.2671168863207183</v>
      </c>
      <c r="L36" s="24">
        <f>K36^2*((F36*E36^3*G36^2*10^-10*(E36/F36)*0.5)/C36)</f>
        <v>5.756835381802081</v>
      </c>
      <c r="M36" s="31" t="s">
        <v>78</v>
      </c>
      <c r="N36" s="32">
        <v>14</v>
      </c>
      <c r="O36" s="32">
        <f>130.5/(C36/16)</f>
        <v>60.24235429890364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Dublin Elementary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Kenneth Myers</dc:creator>
  <cp:keywords/>
  <dc:description/>
  <cp:lastModifiedBy>Kenneth Myers</cp:lastModifiedBy>
  <dcterms:created xsi:type="dcterms:W3CDTF">2008-03-26T19:47:30Z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