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221" activeTab="0"/>
  </bookViews>
  <sheets>
    <sheet name="O.S. OMA-3825-750" sheetId="1" r:id="rId1"/>
    <sheet name="Test 2" sheetId="2" r:id="rId2"/>
  </sheets>
  <definedNames/>
  <calcPr fullCalcOnLoad="1"/>
</workbook>
</file>

<file path=xl/sharedStrings.xml><?xml version="1.0" encoding="utf-8"?>
<sst xmlns="http://schemas.openxmlformats.org/spreadsheetml/2006/main" count="274" uniqueCount="70">
  <si>
    <t>Date:</t>
  </si>
  <si>
    <t>Sept. 8, 2011</t>
  </si>
  <si>
    <t xml:space="preserve">Kv for O.S. .30 2-Stroke Brushless Motor </t>
  </si>
  <si>
    <t>Used drill press to spin motor at 1560 RPM, volts measured with Radio Shack mulitmeters #22-188 &amp; #20-168A (one used to verify the other)</t>
  </si>
  <si>
    <t>Motor Wt.</t>
  </si>
  <si>
    <t>192.5g</t>
  </si>
  <si>
    <t>4S "A123" 2300mAh</t>
  </si>
  <si>
    <t>volts</t>
  </si>
  <si>
    <t>RPM</t>
  </si>
  <si>
    <t>v-peak</t>
  </si>
  <si>
    <t>1000/1560</t>
  </si>
  <si>
    <t>Ke</t>
  </si>
  <si>
    <t>Kv</t>
  </si>
  <si>
    <t>using /0.95</t>
  </si>
  <si>
    <t>Kt</t>
  </si>
  <si>
    <t>Average</t>
  </si>
  <si>
    <t>3S "A123" 2300mAh</t>
  </si>
  <si>
    <t>ESC: CC Phoenix ICE 50</t>
  </si>
  <si>
    <t>Drive Calc Kv</t>
  </si>
  <si>
    <t>Volts</t>
  </si>
  <si>
    <t>Amps</t>
  </si>
  <si>
    <t>No Load, 4S "A123" 2300mAh</t>
  </si>
  <si>
    <t>Kv [rpm/V]</t>
  </si>
  <si>
    <t>Rm</t>
  </si>
  <si>
    <t>Emeter II Data:</t>
  </si>
  <si>
    <t>Raw Kv:</t>
  </si>
  <si>
    <t>Drive Calc ns</t>
  </si>
  <si>
    <t>No Load, 3S "A123" 2300mAh</t>
  </si>
  <si>
    <t>rpm/V</t>
  </si>
  <si>
    <t>Elevation:</t>
  </si>
  <si>
    <t>287m</t>
  </si>
  <si>
    <t>Temp:</t>
  </si>
  <si>
    <t>~15 deg. C</t>
  </si>
  <si>
    <t>Battery: 4S</t>
  </si>
  <si>
    <t>4S1P M1 (A123 Systems) from DEWALT Pack</t>
  </si>
  <si>
    <t>Prop: APC 13x8E</t>
  </si>
  <si>
    <t>Watts In</t>
  </si>
  <si>
    <t>Vnet</t>
  </si>
  <si>
    <t>Inet</t>
  </si>
  <si>
    <t>Pout(1)</t>
  </si>
  <si>
    <t>Pout(2)</t>
  </si>
  <si>
    <t>watts out avg</t>
  </si>
  <si>
    <t>Pconst^ 3.2</t>
  </si>
  <si>
    <t>eff.</t>
  </si>
  <si>
    <t>Average:</t>
  </si>
  <si>
    <t xml:space="preserve">Prop: APC 13x6.5E </t>
  </si>
  <si>
    <t>Prop: APC 12x8E</t>
  </si>
  <si>
    <t>Prop: APC 12x6E</t>
  </si>
  <si>
    <t>O.S. Motor Chart from Owner's Instruction Sheet</t>
  </si>
  <si>
    <t>LiPo</t>
  </si>
  <si>
    <t>Watts</t>
  </si>
  <si>
    <t>Propeller</t>
  </si>
  <si>
    <t>Cell</t>
  </si>
  <si>
    <t>in</t>
  </si>
  <si>
    <t>thrust</t>
  </si>
  <si>
    <t>12x8E</t>
  </si>
  <si>
    <t>3S</t>
  </si>
  <si>
    <t>1.6kg</t>
  </si>
  <si>
    <t>4S</t>
  </si>
  <si>
    <t>2.5kg</t>
  </si>
  <si>
    <t>13x8E</t>
  </si>
  <si>
    <t>1.5kg</t>
  </si>
  <si>
    <t>3.0kg</t>
  </si>
  <si>
    <t>14x7E</t>
  </si>
  <si>
    <t>2.1kg</t>
  </si>
  <si>
    <t>3.1kg</t>
  </si>
  <si>
    <t>Drive Calculator predictions</t>
  </si>
  <si>
    <t>Pitch</t>
  </si>
  <si>
    <t>Speed</t>
  </si>
  <si>
    <t>Test using 4S 4000mAh at field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</si>
</sst>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\-MMM\-YY"/>
    <numFmt numFmtId="166" formatCode="M/D/YYYY"/>
    <numFmt numFmtId="167" formatCode="0.0"/>
    <numFmt numFmtId="168" formatCode="0.00"/>
    <numFmt numFmtId="169" formatCode="0%"/>
    <numFmt numFmtId="170" formatCode="0.0%"/>
  </numFmts>
  <fonts count="5">
    <font>
      <sz val="10"/>
      <name val="Verdana"/>
      <family val="2"/>
    </font>
    <font>
      <sz val="10"/>
      <name val="Arial"/>
      <family val="0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4" fontId="2" fillId="0" borderId="0" xfId="0" applyFont="1" applyAlignment="1">
      <alignment horizontal="left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9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168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4" fontId="3" fillId="2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4" fontId="4" fillId="2" borderId="0" xfId="0" applyFont="1" applyFill="1" applyAlignment="1">
      <alignment horizontal="center"/>
    </xf>
    <xf numFmtId="167" fontId="0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A54">
      <selection activeCell="H91" sqref="H91"/>
    </sheetView>
  </sheetViews>
  <sheetFormatPr defaultColWidth="11.00390625" defaultRowHeight="12.75"/>
  <cols>
    <col min="1" max="1" width="14.50390625" style="0" customWidth="1"/>
    <col min="2" max="2" width="5.50390625" style="0" customWidth="1"/>
    <col min="3" max="3" width="6.75390625" style="0" customWidth="1"/>
    <col min="4" max="4" width="9.625" style="0" customWidth="1"/>
    <col min="5" max="5" width="7.25390625" style="0" customWidth="1"/>
    <col min="6" max="6" width="6.00390625" style="0" customWidth="1"/>
    <col min="7" max="7" width="10.125" style="0" customWidth="1"/>
    <col min="8" max="8" width="11.625" style="0" customWidth="1"/>
    <col min="10" max="10" width="11.625" style="0" customWidth="1"/>
  </cols>
  <sheetData>
    <row r="1" spans="1:2" ht="12.75">
      <c r="A1" t="s">
        <v>0</v>
      </c>
      <c r="B1" s="1" t="s">
        <v>1</v>
      </c>
    </row>
    <row r="2" spans="1:4" ht="12.75">
      <c r="A2" t="s">
        <v>2</v>
      </c>
      <c r="D2" t="s">
        <v>3</v>
      </c>
    </row>
    <row r="3" ht="12.75">
      <c r="B3" s="2" t="s">
        <v>4</v>
      </c>
    </row>
    <row r="4" spans="1:11" ht="12.75">
      <c r="A4" s="3">
        <v>39327</v>
      </c>
      <c r="B4" t="s">
        <v>5</v>
      </c>
      <c r="K4" t="s">
        <v>6</v>
      </c>
    </row>
    <row r="5" spans="1:13" ht="12.75">
      <c r="A5" t="s">
        <v>7</v>
      </c>
      <c r="B5" t="s">
        <v>8</v>
      </c>
      <c r="C5" t="s">
        <v>9</v>
      </c>
      <c r="D5" t="s">
        <v>10</v>
      </c>
      <c r="E5" t="s">
        <v>11</v>
      </c>
      <c r="F5" t="s">
        <v>12</v>
      </c>
      <c r="G5" t="s">
        <v>13</v>
      </c>
      <c r="H5" t="s">
        <v>14</v>
      </c>
      <c r="K5">
        <v>13.4</v>
      </c>
      <c r="L5">
        <v>1.6</v>
      </c>
      <c r="M5">
        <v>10868</v>
      </c>
    </row>
    <row r="6" spans="1:13" ht="12.75">
      <c r="A6">
        <v>1.43</v>
      </c>
      <c r="B6">
        <v>1560</v>
      </c>
      <c r="C6" s="4">
        <f>A6*1.414</f>
        <v>2.02202</v>
      </c>
      <c r="D6" s="4">
        <f>1000/1560</f>
        <v>0.6410256410256411</v>
      </c>
      <c r="E6" s="4">
        <f>(C6*D6)/1000</f>
        <v>0.0012961666666666666</v>
      </c>
      <c r="F6" s="4">
        <f>1/E6</f>
        <v>771.5057220007716</v>
      </c>
      <c r="G6" s="4">
        <f>F6/0.95</f>
        <v>812.1112863166016</v>
      </c>
      <c r="H6" s="4">
        <f>1352/G6</f>
        <v>1.6647964666666666</v>
      </c>
      <c r="K6">
        <v>13.37</v>
      </c>
      <c r="L6">
        <v>1.6</v>
      </c>
      <c r="M6">
        <v>10851</v>
      </c>
    </row>
    <row r="7" spans="1:13" ht="12.75">
      <c r="A7">
        <v>1.43</v>
      </c>
      <c r="B7">
        <v>1560</v>
      </c>
      <c r="C7" s="4">
        <f>A7*1.414</f>
        <v>2.02202</v>
      </c>
      <c r="D7" s="4">
        <f>1000/1560</f>
        <v>0.6410256410256411</v>
      </c>
      <c r="E7" s="4">
        <f>(C7*D7)/1000</f>
        <v>0.0012961666666666666</v>
      </c>
      <c r="F7" s="4">
        <f>1/E7</f>
        <v>771.5057220007716</v>
      </c>
      <c r="G7" s="4">
        <f>F7/0.95</f>
        <v>812.1112863166016</v>
      </c>
      <c r="H7" s="4">
        <f>1352/G7</f>
        <v>1.6647964666666666</v>
      </c>
      <c r="K7">
        <v>13.34</v>
      </c>
      <c r="L7">
        <v>1.6</v>
      </c>
      <c r="M7">
        <v>10834</v>
      </c>
    </row>
    <row r="8" spans="1:13" ht="12.75">
      <c r="A8">
        <v>1.43</v>
      </c>
      <c r="B8">
        <v>1560</v>
      </c>
      <c r="C8" s="4">
        <f>A8*1.414</f>
        <v>2.02202</v>
      </c>
      <c r="D8" s="4">
        <f>1000/1560</f>
        <v>0.6410256410256411</v>
      </c>
      <c r="E8" s="4">
        <f>(C8*D8)/1000</f>
        <v>0.0012961666666666666</v>
      </c>
      <c r="F8" s="4">
        <f>1/E8</f>
        <v>771.5057220007716</v>
      </c>
      <c r="G8" s="4">
        <f>F8/0.95</f>
        <v>812.1112863166016</v>
      </c>
      <c r="H8" s="4">
        <f>1352/G8</f>
        <v>1.6647964666666666</v>
      </c>
      <c r="K8">
        <v>13.32</v>
      </c>
      <c r="L8">
        <v>1.6</v>
      </c>
      <c r="M8">
        <v>10817</v>
      </c>
    </row>
    <row r="9" spans="1:14" ht="12.75">
      <c r="A9" s="5">
        <f>AVERAGE(A6:A8)</f>
        <v>1.43</v>
      </c>
      <c r="B9" s="5">
        <v>1560</v>
      </c>
      <c r="C9" s="5">
        <f>A9*1.414</f>
        <v>2.02202</v>
      </c>
      <c r="D9" s="5">
        <f>1000/1560</f>
        <v>0.6410256410256411</v>
      </c>
      <c r="E9" s="5">
        <f>(C9*D9)/1000</f>
        <v>0.0012961666666666666</v>
      </c>
      <c r="F9" s="5">
        <f>1/E9</f>
        <v>771.5057220007716</v>
      </c>
      <c r="G9" s="5">
        <f>F9/0.95</f>
        <v>812.1112863166016</v>
      </c>
      <c r="H9" s="5">
        <f>1352/G9</f>
        <v>1.6647964666666666</v>
      </c>
      <c r="I9" s="5" t="s">
        <v>15</v>
      </c>
      <c r="K9" s="5">
        <f>AVERAGE(K5:K8)</f>
        <v>13.3575</v>
      </c>
      <c r="L9" s="5">
        <v>1.6</v>
      </c>
      <c r="M9" s="5">
        <f>AVERAGE(M5:M8)</f>
        <v>10842.5</v>
      </c>
      <c r="N9" s="5" t="s">
        <v>15</v>
      </c>
    </row>
    <row r="11" ht="12.75">
      <c r="K11" t="s">
        <v>16</v>
      </c>
    </row>
    <row r="12" spans="1:13" ht="12.75">
      <c r="A12" t="s">
        <v>17</v>
      </c>
      <c r="K12">
        <v>10.43</v>
      </c>
      <c r="L12">
        <v>1.4</v>
      </c>
      <c r="M12">
        <v>8468</v>
      </c>
    </row>
    <row r="13" spans="1:13" ht="12.75">
      <c r="A13" s="3">
        <v>39327</v>
      </c>
      <c r="H13" t="s">
        <v>18</v>
      </c>
      <c r="K13">
        <v>10.33</v>
      </c>
      <c r="L13">
        <v>1.4</v>
      </c>
      <c r="M13">
        <v>8382</v>
      </c>
    </row>
    <row r="14" spans="2:13" ht="12.75">
      <c r="B14" t="s">
        <v>19</v>
      </c>
      <c r="C14" t="s">
        <v>20</v>
      </c>
      <c r="D14" t="s">
        <v>8</v>
      </c>
      <c r="E14" t="s">
        <v>21</v>
      </c>
      <c r="H14" s="6">
        <v>818.6</v>
      </c>
      <c r="I14" t="s">
        <v>22</v>
      </c>
      <c r="J14" t="s">
        <v>23</v>
      </c>
      <c r="K14" s="7">
        <v>10.27</v>
      </c>
      <c r="L14">
        <v>1.4</v>
      </c>
      <c r="M14">
        <v>8331</v>
      </c>
    </row>
    <row r="15" spans="1:13" ht="12.75">
      <c r="A15" s="8" t="s">
        <v>24</v>
      </c>
      <c r="B15">
        <v>13.3575</v>
      </c>
      <c r="C15">
        <v>1.6</v>
      </c>
      <c r="D15">
        <v>10842.5</v>
      </c>
      <c r="E15" s="9" t="s">
        <v>25</v>
      </c>
      <c r="F15" s="4">
        <f>D15/B15</f>
        <v>811.7162642710088</v>
      </c>
      <c r="H15" t="s">
        <v>26</v>
      </c>
      <c r="J15" s="4">
        <f>(B15-(D15/$G$9))/C15</f>
        <v>0.004060794270833723</v>
      </c>
      <c r="K15">
        <v>10.23</v>
      </c>
      <c r="L15">
        <v>1.4</v>
      </c>
      <c r="M15">
        <v>8297</v>
      </c>
    </row>
    <row r="16" spans="2:14" ht="12.75">
      <c r="B16" t="s">
        <v>19</v>
      </c>
      <c r="C16" t="s">
        <v>20</v>
      </c>
      <c r="D16" t="s">
        <v>8</v>
      </c>
      <c r="E16" t="s">
        <v>27</v>
      </c>
      <c r="H16">
        <v>811</v>
      </c>
      <c r="I16" t="s">
        <v>28</v>
      </c>
      <c r="K16" s="5">
        <f>AVERAGE(K12:K15)</f>
        <v>10.315000000000001</v>
      </c>
      <c r="L16" s="5">
        <v>1.4</v>
      </c>
      <c r="M16" s="5">
        <f>AVERAGE(M12:M15)</f>
        <v>8369.5</v>
      </c>
      <c r="N16" s="5" t="s">
        <v>15</v>
      </c>
    </row>
    <row r="17" spans="1:10" ht="12.75">
      <c r="A17" s="8" t="s">
        <v>24</v>
      </c>
      <c r="B17">
        <v>10.315</v>
      </c>
      <c r="C17">
        <v>1.4</v>
      </c>
      <c r="D17">
        <v>8369.5</v>
      </c>
      <c r="E17" s="9" t="s">
        <v>25</v>
      </c>
      <c r="F17" s="4">
        <f>D17/B17</f>
        <v>811.3911778962677</v>
      </c>
      <c r="J17" s="4">
        <f>(B17-(D17/G9))/C17</f>
        <v>0.006533163690477042</v>
      </c>
    </row>
    <row r="20" spans="1:9" ht="12.75">
      <c r="A20" t="s">
        <v>29</v>
      </c>
      <c r="B20" t="s">
        <v>30</v>
      </c>
      <c r="C20" t="s">
        <v>31</v>
      </c>
      <c r="D20" t="s">
        <v>32</v>
      </c>
      <c r="E20" s="8"/>
      <c r="I20" s="10"/>
    </row>
    <row r="21" spans="1:5" ht="12.75">
      <c r="A21" s="3">
        <v>39332</v>
      </c>
      <c r="D21" t="s">
        <v>33</v>
      </c>
      <c r="E21" t="s">
        <v>34</v>
      </c>
    </row>
    <row r="22" ht="12.75">
      <c r="A22" s="3"/>
    </row>
    <row r="23" spans="1:12" ht="12.75">
      <c r="A23" t="s">
        <v>35</v>
      </c>
      <c r="B23" t="s">
        <v>19</v>
      </c>
      <c r="C23" t="s">
        <v>20</v>
      </c>
      <c r="D23" t="s">
        <v>8</v>
      </c>
      <c r="E23" t="s">
        <v>36</v>
      </c>
      <c r="F23" t="s">
        <v>37</v>
      </c>
      <c r="G23" t="s">
        <v>38</v>
      </c>
      <c r="H23" t="s">
        <v>39</v>
      </c>
      <c r="I23" t="s">
        <v>40</v>
      </c>
      <c r="J23" t="s">
        <v>41</v>
      </c>
      <c r="K23" t="s">
        <v>42</v>
      </c>
      <c r="L23" t="s">
        <v>43</v>
      </c>
    </row>
    <row r="24" spans="1:13" ht="12.75">
      <c r="A24" s="8" t="s">
        <v>24</v>
      </c>
      <c r="B24">
        <v>11.35</v>
      </c>
      <c r="C24">
        <v>35.4</v>
      </c>
      <c r="D24">
        <v>7533</v>
      </c>
      <c r="E24" s="4">
        <f>B24*C24</f>
        <v>401.78999999999996</v>
      </c>
      <c r="F24" s="4">
        <f>D24/$G$9</f>
        <v>9.275822325</v>
      </c>
      <c r="G24" s="4">
        <f>C24-((B24*$C$17)/$B$17)</f>
        <v>33.85952496364518</v>
      </c>
      <c r="H24" s="4">
        <f>F24*G24</f>
        <v>314.07493757167475</v>
      </c>
      <c r="I24" s="4">
        <f>($H$9*G24*PI()*2*D24)/8496.7154</f>
        <v>314.00659562590414</v>
      </c>
      <c r="J24" s="11">
        <f>AVERAGE(H24:I24)</f>
        <v>314.04076659878945</v>
      </c>
      <c r="K24" s="4">
        <f>J24/(D24/1000)^3.2</f>
        <v>0.49055593347697296</v>
      </c>
      <c r="L24" s="12">
        <f>J24/E24</f>
        <v>0.781604237534009</v>
      </c>
      <c r="M24" s="4">
        <f>(B24-(D24/$G$9))/C24</f>
        <v>0.05859258968926553</v>
      </c>
    </row>
    <row r="25" spans="1:13" ht="12.75">
      <c r="A25" s="8" t="s">
        <v>24</v>
      </c>
      <c r="B25">
        <v>11.2</v>
      </c>
      <c r="C25">
        <v>34.7</v>
      </c>
      <c r="D25">
        <v>7440</v>
      </c>
      <c r="E25" s="4">
        <f>B25*C25</f>
        <v>388.64</v>
      </c>
      <c r="F25" s="4">
        <f>D25/$G$9</f>
        <v>9.161306</v>
      </c>
      <c r="G25" s="4">
        <f>C25-((B25*$C$17)/$B$17)</f>
        <v>33.17988366456617</v>
      </c>
      <c r="H25" s="4">
        <f>F25*G25</f>
        <v>303.97106729549205</v>
      </c>
      <c r="I25" s="4">
        <f>($H$9*G25*PI()*2*D25)/8496.7154</f>
        <v>303.9049239274234</v>
      </c>
      <c r="J25" s="11">
        <f>AVERAGE(H25:I25)</f>
        <v>303.9379956114577</v>
      </c>
      <c r="K25" s="4">
        <f>J25/(D25/1000)^3.2</f>
        <v>0.49402804235465136</v>
      </c>
      <c r="L25" s="12">
        <f>J25/E25</f>
        <v>0.7820553612892593</v>
      </c>
      <c r="M25" s="4">
        <f>(B25-(D25/$G$9))/C25</f>
        <v>0.05875198847262246</v>
      </c>
    </row>
    <row r="26" spans="1:13" ht="12.75">
      <c r="A26" s="8" t="s">
        <v>24</v>
      </c>
      <c r="B26">
        <v>11.22</v>
      </c>
      <c r="C26">
        <v>34.6</v>
      </c>
      <c r="D26">
        <v>7465</v>
      </c>
      <c r="E26" s="4">
        <f>B26*C26</f>
        <v>388.21200000000005</v>
      </c>
      <c r="F26" s="4">
        <f>D26/$G$9</f>
        <v>9.192089958333332</v>
      </c>
      <c r="G26" s="4">
        <f>C26-((B26*$C$17)/$B$17)</f>
        <v>33.077169171110036</v>
      </c>
      <c r="H26" s="4">
        <f>F26*G26</f>
        <v>304.04831458785344</v>
      </c>
      <c r="I26" s="4">
        <f>($H$9*G26*PI()*2*D26)/8496.7154</f>
        <v>303.98215441096113</v>
      </c>
      <c r="J26" s="11">
        <f>AVERAGE(H26:I26)</f>
        <v>304.01523449940726</v>
      </c>
      <c r="K26" s="4">
        <f>J26/(D26/1000)^3.2</f>
        <v>0.4888773858968241</v>
      </c>
      <c r="L26" s="12">
        <f>J26/E26</f>
        <v>0.783116530399388</v>
      </c>
      <c r="M26" s="4">
        <f>(B26-(D26/$G$9))/C26</f>
        <v>0.058610116811175395</v>
      </c>
    </row>
    <row r="27" spans="1:13" ht="12.75">
      <c r="A27" s="8" t="s">
        <v>24</v>
      </c>
      <c r="B27">
        <v>11.16</v>
      </c>
      <c r="C27">
        <v>34.1</v>
      </c>
      <c r="D27">
        <v>7405</v>
      </c>
      <c r="E27" s="4">
        <f>B27*C27</f>
        <v>380.55600000000004</v>
      </c>
      <c r="F27" s="4">
        <f>D27/$G$9</f>
        <v>9.118208458333333</v>
      </c>
      <c r="G27" s="4">
        <f>C27-((B27*$C$17)/$B$17)</f>
        <v>32.58531265147843</v>
      </c>
      <c r="H27" s="4">
        <f>F27*G27</f>
        <v>297.1196734361468</v>
      </c>
      <c r="I27" s="4">
        <f>($H$9*G27*PI()*2*D27)/8496.7154</f>
        <v>297.0550209147889</v>
      </c>
      <c r="J27" s="11">
        <f>AVERAGE(H27:I27)</f>
        <v>297.0873471754678</v>
      </c>
      <c r="K27" s="4">
        <f>J27/(D27/1000)^3.2</f>
        <v>0.4902345941361257</v>
      </c>
      <c r="L27" s="12">
        <f>J27/E27</f>
        <v>0.7806665699015856</v>
      </c>
      <c r="M27" s="4">
        <f>(B27-(D27/$G$9))/C27</f>
        <v>0.059876584799609</v>
      </c>
    </row>
    <row r="28" spans="1:13" ht="12.75">
      <c r="A28" s="8" t="s">
        <v>24</v>
      </c>
      <c r="B28">
        <v>11.12</v>
      </c>
      <c r="C28">
        <v>33.8</v>
      </c>
      <c r="D28">
        <v>7388</v>
      </c>
      <c r="E28" s="4">
        <f>B28*C28</f>
        <v>375.85599999999994</v>
      </c>
      <c r="F28" s="4">
        <f>D28/$G$9</f>
        <v>9.097275366666667</v>
      </c>
      <c r="G28" s="4">
        <f>C28-((B28*$C$17)/$B$17)</f>
        <v>32.29074163839069</v>
      </c>
      <c r="H28" s="4">
        <f>F28*G28</f>
        <v>293.7577684783293</v>
      </c>
      <c r="I28" s="4">
        <f>($H$9*G28*PI()*2*D28)/8496.7154</f>
        <v>293.6938474993481</v>
      </c>
      <c r="J28" s="11">
        <f>AVERAGE(H28:I28)</f>
        <v>293.7258079888387</v>
      </c>
      <c r="K28" s="4">
        <f>J28/(D28/1000)^3.2</f>
        <v>0.4882655344243722</v>
      </c>
      <c r="L28" s="12">
        <f>J28/E28</f>
        <v>0.781484951653928</v>
      </c>
      <c r="M28" s="4">
        <f>(B28-(D28/$G$9))/C28</f>
        <v>0.05984392406311635</v>
      </c>
    </row>
    <row r="29" spans="1:13" ht="12.75">
      <c r="A29" s="9" t="s">
        <v>44</v>
      </c>
      <c r="B29" s="5">
        <f>AVERAGE(B24:B28)</f>
        <v>11.209999999999999</v>
      </c>
      <c r="C29" s="5">
        <f>AVERAGE(C24:C28)</f>
        <v>34.519999999999996</v>
      </c>
      <c r="D29" s="5">
        <f>AVERAGE(D24:D28)</f>
        <v>7446.2</v>
      </c>
      <c r="E29" s="5">
        <f>B29*C29</f>
        <v>386.96919999999994</v>
      </c>
      <c r="F29" s="5">
        <f>D29/$G$9</f>
        <v>9.168940421666665</v>
      </c>
      <c r="G29" s="5">
        <f>C29-((B29*$C$17)/$B$17)</f>
        <v>32.99852641783809</v>
      </c>
      <c r="H29" s="5">
        <f>F29*G29</f>
        <v>302.561522727951</v>
      </c>
      <c r="I29" s="5">
        <f>($H$9*G29*PI()*2*D29)/8496.7154</f>
        <v>302.4956860733665</v>
      </c>
      <c r="J29" s="13">
        <f>AVERAGE(H29:I29)</f>
        <v>302.52860440065876</v>
      </c>
      <c r="K29" s="5">
        <f>J29/(D29/1000)^3.2</f>
        <v>0.4904281766856476</v>
      </c>
      <c r="L29" s="14">
        <f>J29/E29</f>
        <v>0.7817898799197942</v>
      </c>
      <c r="M29" s="5">
        <f>(B29-(D29/$G$9))/C29</f>
        <v>0.059126870751255334</v>
      </c>
    </row>
    <row r="31" spans="1:12" ht="12.75">
      <c r="A31" t="s">
        <v>45</v>
      </c>
      <c r="B31" t="s">
        <v>19</v>
      </c>
      <c r="C31" t="s">
        <v>20</v>
      </c>
      <c r="D31" t="s">
        <v>8</v>
      </c>
      <c r="E31" t="s">
        <v>36</v>
      </c>
      <c r="F31" t="s">
        <v>37</v>
      </c>
      <c r="G31" t="s">
        <v>38</v>
      </c>
      <c r="H31" t="s">
        <v>39</v>
      </c>
      <c r="I31" t="s">
        <v>40</v>
      </c>
      <c r="J31" t="s">
        <v>41</v>
      </c>
      <c r="K31" t="s">
        <v>42</v>
      </c>
      <c r="L31" t="s">
        <v>43</v>
      </c>
    </row>
    <row r="32" spans="1:13" ht="12.75">
      <c r="A32" s="8" t="s">
        <v>24</v>
      </c>
      <c r="B32">
        <v>11.22</v>
      </c>
      <c r="C32">
        <v>34.7</v>
      </c>
      <c r="D32">
        <v>7431</v>
      </c>
      <c r="E32" s="4">
        <f>B32*C32</f>
        <v>389.33400000000006</v>
      </c>
      <c r="F32" s="4">
        <f>D32/$G$9</f>
        <v>9.150223774999999</v>
      </c>
      <c r="G32" s="4">
        <f>C32-((B32*$C$17)/$B$17)</f>
        <v>33.17716917111004</v>
      </c>
      <c r="H32" s="4">
        <f>F32*G32</f>
        <v>303.5785221366881</v>
      </c>
      <c r="I32" s="4">
        <f>($H$9*G32*PI()*2*D32)/8496.7154</f>
        <v>303.51246418549533</v>
      </c>
      <c r="J32" s="11">
        <f>AVERAGE(H32:I32)</f>
        <v>303.5454931610917</v>
      </c>
      <c r="K32" s="4">
        <f>J32/(D32/1000)^3.2</f>
        <v>0.49530481849376384</v>
      </c>
      <c r="L32" s="12">
        <f>J32/E32</f>
        <v>0.7796531850829664</v>
      </c>
      <c r="M32" s="4">
        <f>(B32-(D32/$G$9))/C32</f>
        <v>0.05964772982708939</v>
      </c>
    </row>
    <row r="33" spans="1:13" ht="12.75">
      <c r="A33" s="8" t="s">
        <v>24</v>
      </c>
      <c r="B33">
        <v>11.08</v>
      </c>
      <c r="C33">
        <v>34.3</v>
      </c>
      <c r="D33">
        <v>7328</v>
      </c>
      <c r="E33" s="4">
        <f>B33*C33</f>
        <v>380.044</v>
      </c>
      <c r="F33" s="4">
        <f>D33/$G$9</f>
        <v>9.023393866666666</v>
      </c>
      <c r="G33" s="4">
        <f>C33-((B33*$C$17)/$B$17)</f>
        <v>32.796170625302956</v>
      </c>
      <c r="H33" s="4">
        <f>F33*G33</f>
        <v>295.9327648705122</v>
      </c>
      <c r="I33" s="4">
        <f>($H$9*G33*PI()*2*D33)/8496.7154</f>
        <v>295.86837061758354</v>
      </c>
      <c r="J33" s="11">
        <f>AVERAGE(H33:I33)</f>
        <v>295.90056774404786</v>
      </c>
      <c r="K33" s="4">
        <f>J33/(D33/1000)^3.2</f>
        <v>0.5048848328471032</v>
      </c>
      <c r="L33" s="12">
        <f>J33/E33</f>
        <v>0.7785955514204879</v>
      </c>
      <c r="M33" s="4">
        <f>(B33-(D33/$G$9))/C33</f>
        <v>0.05995936248785231</v>
      </c>
    </row>
    <row r="34" spans="1:13" ht="12.75">
      <c r="A34" s="8" t="s">
        <v>24</v>
      </c>
      <c r="B34">
        <v>11</v>
      </c>
      <c r="C34">
        <v>33.8</v>
      </c>
      <c r="D34">
        <v>7285</v>
      </c>
      <c r="E34" s="4">
        <f>B34*C34</f>
        <v>371.79999999999995</v>
      </c>
      <c r="F34" s="4">
        <f>D34/$G$9</f>
        <v>8.970445458333332</v>
      </c>
      <c r="G34" s="4">
        <f>C34-((B34*$C$17)/$B$17)</f>
        <v>32.307028599127484</v>
      </c>
      <c r="H34" s="4">
        <f>F34*G34</f>
        <v>289.8084379692882</v>
      </c>
      <c r="I34" s="4">
        <f>($H$9*G34*PI()*2*D34)/8496.7154</f>
        <v>289.7453763550611</v>
      </c>
      <c r="J34" s="11">
        <f>AVERAGE(H34:I34)</f>
        <v>289.77690716217467</v>
      </c>
      <c r="K34" s="4">
        <f>J34/(D34/1000)^3.2</f>
        <v>0.5038359975307307</v>
      </c>
      <c r="L34" s="12">
        <f>J34/E34</f>
        <v>0.779389206998856</v>
      </c>
      <c r="M34" s="4">
        <f>(B34-(D34/$G$9))/C34</f>
        <v>0.06004599235700202</v>
      </c>
    </row>
    <row r="35" spans="1:13" ht="12.75">
      <c r="A35" s="8" t="s">
        <v>24</v>
      </c>
      <c r="B35">
        <v>11.02</v>
      </c>
      <c r="C35">
        <v>33.9</v>
      </c>
      <c r="D35">
        <v>7293</v>
      </c>
      <c r="E35" s="4">
        <f>B35*C35</f>
        <v>373.578</v>
      </c>
      <c r="F35" s="4">
        <f>D35/$G$9</f>
        <v>8.980296325</v>
      </c>
      <c r="G35" s="4">
        <f>C35-((B35*$C$17)/$B$17)</f>
        <v>32.404314105671354</v>
      </c>
      <c r="H35" s="4">
        <f>F35*G35</f>
        <v>291.0003428773061</v>
      </c>
      <c r="I35" s="4">
        <f>($H$9*G35*PI()*2*D35)/8496.7154</f>
        <v>290.93702190745756</v>
      </c>
      <c r="J35" s="11">
        <f>AVERAGE(H35:I35)</f>
        <v>290.9686823923818</v>
      </c>
      <c r="K35" s="4">
        <f>J35/(D35/1000)^3.2</f>
        <v>0.5041344361574629</v>
      </c>
      <c r="L35" s="12">
        <f>J35/E35</f>
        <v>0.7788699612728315</v>
      </c>
      <c r="M35" s="4">
        <f>(B35-(D35/$G$9))/C35</f>
        <v>0.060168250000000006</v>
      </c>
    </row>
    <row r="36" spans="1:13" ht="12.75">
      <c r="A36" s="8" t="s">
        <v>24</v>
      </c>
      <c r="B36">
        <v>11</v>
      </c>
      <c r="C36">
        <v>33.6</v>
      </c>
      <c r="D36">
        <v>7268</v>
      </c>
      <c r="E36" s="4">
        <f>B36*C36</f>
        <v>369.6</v>
      </c>
      <c r="F36" s="4">
        <f>D36/$G$9</f>
        <v>8.949512366666665</v>
      </c>
      <c r="G36" s="4">
        <f>C36-((B36*$C$17)/$B$17)</f>
        <v>32.10702859912749</v>
      </c>
      <c r="H36" s="4">
        <f>F36*G36</f>
        <v>287.3422495048118</v>
      </c>
      <c r="I36" s="4">
        <f>($H$9*G36*PI()*2*D36)/8496.7154</f>
        <v>287.2797245272218</v>
      </c>
      <c r="J36" s="11">
        <f>AVERAGE(H36:I36)</f>
        <v>287.3109870160168</v>
      </c>
      <c r="K36" s="4">
        <f>J36/(D36/1000)^3.2</f>
        <v>0.5032971770266634</v>
      </c>
      <c r="L36" s="12">
        <f>J36/E36</f>
        <v>0.777356566601777</v>
      </c>
      <c r="M36" s="4">
        <f>(B36-(D36/$G$9))/C36</f>
        <v>0.061026417658730195</v>
      </c>
    </row>
    <row r="37" spans="1:13" ht="12.75">
      <c r="A37" s="9" t="s">
        <v>44</v>
      </c>
      <c r="B37" s="5">
        <f>AVERAGE(B32:B36)</f>
        <v>11.063999999999998</v>
      </c>
      <c r="C37" s="5">
        <f>AVERAGE(C32:C36)</f>
        <v>34.06</v>
      </c>
      <c r="D37" s="5">
        <f>AVERAGE(D32:D36)</f>
        <v>7321</v>
      </c>
      <c r="E37" s="5">
        <f>B37*C37</f>
        <v>376.83984</v>
      </c>
      <c r="F37" s="5">
        <f>D37/$G$9</f>
        <v>9.014774358333332</v>
      </c>
      <c r="G37" s="5">
        <f>C37-((B37*$C$17)/$B$17)</f>
        <v>32.558342220067864</v>
      </c>
      <c r="H37" s="5">
        <f>F37*G37</f>
        <v>293.5061085953093</v>
      </c>
      <c r="I37" s="5">
        <f>($H$9*G37*PI()*2*D37)/8496.7154</f>
        <v>293.4422423769093</v>
      </c>
      <c r="J37" s="13">
        <f>AVERAGE(H37:I37)</f>
        <v>293.4741754861093</v>
      </c>
      <c r="K37" s="5">
        <f>J37/(D37/1000)^3.2</f>
        <v>0.5022785007012796</v>
      </c>
      <c r="L37" s="14">
        <f>J37/E37</f>
        <v>0.7787769347479537</v>
      </c>
      <c r="M37" s="5">
        <f>(B37-(D37/$G$9))/C37</f>
        <v>0.0601651685750636</v>
      </c>
    </row>
    <row r="39" spans="1:12" ht="12.75">
      <c r="A39" t="s">
        <v>46</v>
      </c>
      <c r="B39" t="s">
        <v>19</v>
      </c>
      <c r="C39" t="s">
        <v>20</v>
      </c>
      <c r="D39" t="s">
        <v>8</v>
      </c>
      <c r="E39" t="s">
        <v>36</v>
      </c>
      <c r="F39" t="s">
        <v>37</v>
      </c>
      <c r="G39" t="s">
        <v>38</v>
      </c>
      <c r="H39" t="s">
        <v>39</v>
      </c>
      <c r="I39" t="s">
        <v>40</v>
      </c>
      <c r="J39" t="s">
        <v>41</v>
      </c>
      <c r="K39" t="s">
        <v>42</v>
      </c>
      <c r="L39" t="s">
        <v>43</v>
      </c>
    </row>
    <row r="40" spans="1:13" ht="12.75">
      <c r="A40" s="8" t="s">
        <v>24</v>
      </c>
      <c r="B40">
        <v>11.55</v>
      </c>
      <c r="C40">
        <v>32.5</v>
      </c>
      <c r="D40">
        <v>7800</v>
      </c>
      <c r="E40" s="4">
        <f>B40*C40</f>
        <v>375.375</v>
      </c>
      <c r="F40" s="4">
        <f>D40/$G$9</f>
        <v>9.604595</v>
      </c>
      <c r="G40" s="4">
        <f>C40-((B40*$C$17)/$B$17)</f>
        <v>30.93238002908386</v>
      </c>
      <c r="H40" s="4">
        <f>F40*G40</f>
        <v>297.09298256543866</v>
      </c>
      <c r="I40" s="4">
        <f>($H$9*G40*PI()*2*D40)/8496.7154</f>
        <v>297.0283358519495</v>
      </c>
      <c r="J40" s="11">
        <f>AVERAGE(H40:I40)</f>
        <v>297.0606592086941</v>
      </c>
      <c r="K40" s="4">
        <f>J40/(D40/1000)^3.2</f>
        <v>0.41509013477006257</v>
      </c>
      <c r="L40" s="12">
        <f>J40/E40</f>
        <v>0.7913703875023487</v>
      </c>
      <c r="M40" s="4">
        <f>(B40-(D40/$G$9))/C40</f>
        <v>0.05985861538461541</v>
      </c>
    </row>
    <row r="41" spans="1:13" ht="12.75">
      <c r="A41" s="8" t="s">
        <v>24</v>
      </c>
      <c r="B41">
        <v>11.38</v>
      </c>
      <c r="C41">
        <v>31.6</v>
      </c>
      <c r="D41">
        <v>7688</v>
      </c>
      <c r="E41" s="4">
        <f>B41*C41</f>
        <v>359.60800000000006</v>
      </c>
      <c r="F41" s="4">
        <f>D41/$G$9</f>
        <v>9.466682866666666</v>
      </c>
      <c r="G41" s="4">
        <f>C41-((B41*$C$17)/$B$17)</f>
        <v>30.05545322346098</v>
      </c>
      <c r="H41" s="4">
        <f>F41*G41</f>
        <v>284.52544408043946</v>
      </c>
      <c r="I41" s="4">
        <f>($H$9*G41*PI()*2*D41)/8496.7154</f>
        <v>284.4635320328879</v>
      </c>
      <c r="J41" s="11">
        <f>AVERAGE(H41:I41)</f>
        <v>284.49448805666367</v>
      </c>
      <c r="K41" s="4">
        <f>J41/(D41/1000)^3.2</f>
        <v>0.4163619728158743</v>
      </c>
      <c r="L41" s="12">
        <f>J41/E41</f>
        <v>0.7911239128625159</v>
      </c>
      <c r="M41" s="4">
        <f>(B41-(D41/$G$9))/C41</f>
        <v>0.06054801054852325</v>
      </c>
    </row>
    <row r="42" spans="1:13" ht="12.75">
      <c r="A42" s="8" t="s">
        <v>24</v>
      </c>
      <c r="B42">
        <v>11.26</v>
      </c>
      <c r="C42">
        <v>31.3</v>
      </c>
      <c r="D42">
        <v>7602</v>
      </c>
      <c r="E42" s="4">
        <f>B42*C42</f>
        <v>352.438</v>
      </c>
      <c r="F42" s="4">
        <f>D42/$G$9</f>
        <v>9.36078605</v>
      </c>
      <c r="G42" s="4">
        <f>C42-((B42*$C$17)/$B$17)</f>
        <v>29.77174018419777</v>
      </c>
      <c r="H42" s="4">
        <f>F42*G42</f>
        <v>278.6868902004629</v>
      </c>
      <c r="I42" s="4">
        <f>($H$9*G42*PI()*2*D42)/8496.7154</f>
        <v>278.6262486080955</v>
      </c>
      <c r="J42" s="11">
        <f>AVERAGE(H42:I42)</f>
        <v>278.65656940427925</v>
      </c>
      <c r="K42" s="4">
        <f>J42/(D42/1000)^3.2</f>
        <v>0.4227660626718723</v>
      </c>
      <c r="L42" s="12">
        <f>J42/E42</f>
        <v>0.7906541559204151</v>
      </c>
      <c r="M42" s="4">
        <f>(B42-(D42/$G$9))/C42</f>
        <v>0.06067776198083067</v>
      </c>
    </row>
    <row r="43" spans="1:13" ht="12.75">
      <c r="A43" s="8" t="s">
        <v>24</v>
      </c>
      <c r="B43">
        <v>11.18</v>
      </c>
      <c r="C43">
        <v>31</v>
      </c>
      <c r="D43">
        <v>7542</v>
      </c>
      <c r="E43" s="4">
        <f>B43*C43</f>
        <v>346.58</v>
      </c>
      <c r="F43" s="4">
        <f>D43/$G$9</f>
        <v>9.28690455</v>
      </c>
      <c r="G43" s="4">
        <f>C43-((B43*$C$17)/$B$17)</f>
        <v>29.4825981580223</v>
      </c>
      <c r="H43" s="4">
        <f>F43*G43</f>
        <v>273.8020749795589</v>
      </c>
      <c r="I43" s="4">
        <f>($H$9*G43*PI()*2*D43)/8496.7154</f>
        <v>273.7424963111532</v>
      </c>
      <c r="J43" s="11">
        <f>AVERAGE(H43:I43)</f>
        <v>273.7722856453561</v>
      </c>
      <c r="K43" s="4">
        <f>J43/(D43/1000)^3.2</f>
        <v>0.42602255431691344</v>
      </c>
      <c r="L43" s="12">
        <f>J43/E43</f>
        <v>0.7899252283610021</v>
      </c>
      <c r="M43" s="4">
        <f>(B43-(D43/$G$9))/C43</f>
        <v>0.06106759516129034</v>
      </c>
    </row>
    <row r="44" spans="1:13" ht="12.75">
      <c r="A44" s="8" t="s">
        <v>24</v>
      </c>
      <c r="B44">
        <v>11.14</v>
      </c>
      <c r="C44">
        <v>30.7</v>
      </c>
      <c r="D44">
        <v>7525</v>
      </c>
      <c r="E44" s="4">
        <f>B44*C44</f>
        <v>341.998</v>
      </c>
      <c r="F44" s="4">
        <f>D44/$G$9</f>
        <v>9.265971458333333</v>
      </c>
      <c r="G44" s="4">
        <f>C44-((B44*$C$17)/$B$17)</f>
        <v>29.188027144934562</v>
      </c>
      <c r="H44" s="4">
        <f>F44*G44</f>
        <v>270.4554264500222</v>
      </c>
      <c r="I44" s="4">
        <f>($H$9*G44*PI()*2*D44)/8496.7154</f>
        <v>270.39657600423146</v>
      </c>
      <c r="J44" s="11">
        <f>AVERAGE(H44:I44)</f>
        <v>270.4260012271268</v>
      </c>
      <c r="K44" s="4">
        <f>J44/(D44/1000)^3.2</f>
        <v>0.4238650739957559</v>
      </c>
      <c r="L44" s="12">
        <f>J44/E44</f>
        <v>0.7907239259502301</v>
      </c>
      <c r="M44" s="4">
        <f>(B44-(D44/$G$9))/C44</f>
        <v>0.06104327497285564</v>
      </c>
    </row>
    <row r="45" spans="1:13" ht="12.75">
      <c r="A45" s="9" t="s">
        <v>44</v>
      </c>
      <c r="B45" s="5">
        <f>AVERAGE(B40:B44)</f>
        <v>11.302000000000001</v>
      </c>
      <c r="C45" s="5">
        <f>AVERAGE(C40:C44)</f>
        <v>31.420000000000005</v>
      </c>
      <c r="D45" s="5">
        <f>AVERAGE(D40:D44)</f>
        <v>7631.4</v>
      </c>
      <c r="E45" s="5">
        <f>B45*C45</f>
        <v>355.1088400000001</v>
      </c>
      <c r="F45" s="5">
        <f>D45/$G$9</f>
        <v>9.396987984999999</v>
      </c>
      <c r="G45" s="5">
        <f>C45-((B45*$C$17)/$B$17)</f>
        <v>29.886039747939897</v>
      </c>
      <c r="H45" s="5">
        <f>F45*G45</f>
        <v>280.8387564306236</v>
      </c>
      <c r="I45" s="5">
        <f>($H$9*G45*PI()*2*D45)/8496.7154</f>
        <v>280.777646597376</v>
      </c>
      <c r="J45" s="13">
        <f>AVERAGE(H45:I45)</f>
        <v>280.80820151399985</v>
      </c>
      <c r="K45" s="5">
        <f>J45/(D45/1000)^3.2</f>
        <v>0.42080054279193446</v>
      </c>
      <c r="L45" s="14">
        <f>J45/E45</f>
        <v>0.7907665759996281</v>
      </c>
      <c r="M45" s="5">
        <f>(B45-(D45/$G$9))/C45</f>
        <v>0.060630554264799554</v>
      </c>
    </row>
    <row r="46" ht="12.75">
      <c r="A46" s="5"/>
    </row>
    <row r="47" spans="1:12" ht="12.75">
      <c r="A47" t="s">
        <v>47</v>
      </c>
      <c r="B47" t="s">
        <v>19</v>
      </c>
      <c r="C47" t="s">
        <v>20</v>
      </c>
      <c r="D47" t="s">
        <v>8</v>
      </c>
      <c r="E47" t="s">
        <v>36</v>
      </c>
      <c r="F47" t="s">
        <v>37</v>
      </c>
      <c r="G47" t="s">
        <v>38</v>
      </c>
      <c r="H47" t="s">
        <v>39</v>
      </c>
      <c r="I47" t="s">
        <v>40</v>
      </c>
      <c r="J47" t="s">
        <v>41</v>
      </c>
      <c r="K47" t="s">
        <v>42</v>
      </c>
      <c r="L47" t="s">
        <v>43</v>
      </c>
    </row>
    <row r="48" spans="1:13" ht="12.75">
      <c r="A48" s="8" t="s">
        <v>24</v>
      </c>
      <c r="B48">
        <v>11.79</v>
      </c>
      <c r="C48">
        <v>28.1</v>
      </c>
      <c r="D48">
        <v>8194</v>
      </c>
      <c r="E48" s="4">
        <f>B48*C48</f>
        <v>331.299</v>
      </c>
      <c r="F48" s="4">
        <f>D48/$G$9</f>
        <v>10.089750183333333</v>
      </c>
      <c r="G48" s="4">
        <f>C48-((B48*$C$17)/$B$17)</f>
        <v>26.49980610761028</v>
      </c>
      <c r="H48" s="4">
        <f>F48*G48</f>
        <v>267.3764235325586</v>
      </c>
      <c r="I48" s="4">
        <f>($H$9*G48*PI()*2*D48)/8496.7154</f>
        <v>267.3182430703457</v>
      </c>
      <c r="J48" s="11">
        <f>AVERAGE(H48:I48)</f>
        <v>267.3473333014522</v>
      </c>
      <c r="K48" s="4">
        <f>J48/(D48/1000)^3.2</f>
        <v>0.3190720669802488</v>
      </c>
      <c r="L48" s="12">
        <f>J48/E48</f>
        <v>0.8069669190110812</v>
      </c>
      <c r="M48" s="4">
        <f>(B48-(D48/$G$9))/C48</f>
        <v>0.06050711091340449</v>
      </c>
    </row>
    <row r="49" spans="1:13" ht="12.75">
      <c r="A49" s="8" t="s">
        <v>24</v>
      </c>
      <c r="B49">
        <v>11.62</v>
      </c>
      <c r="C49">
        <v>27.3</v>
      </c>
      <c r="D49">
        <v>8091</v>
      </c>
      <c r="E49" s="4">
        <f>B49*C49</f>
        <v>317.226</v>
      </c>
      <c r="F49" s="4">
        <f>D49/$G$9</f>
        <v>9.962920274999998</v>
      </c>
      <c r="G49" s="4">
        <f>C49-((B49*$C$17)/$B$17)</f>
        <v>25.722879301987398</v>
      </c>
      <c r="H49" s="4">
        <f>F49*G49</f>
        <v>256.27499572914803</v>
      </c>
      <c r="I49" s="4">
        <f>($H$9*G49*PI()*2*D49)/8496.7154</f>
        <v>256.21923091073916</v>
      </c>
      <c r="J49" s="11">
        <f>AVERAGE(H49:I49)</f>
        <v>256.2471133199436</v>
      </c>
      <c r="K49" s="4">
        <f>J49/(D49/1000)^3.2</f>
        <v>0.3184578347366359</v>
      </c>
      <c r="L49" s="12">
        <f>J49/E49</f>
        <v>0.8077746254088366</v>
      </c>
      <c r="M49" s="4">
        <f>(B49-(D49/$G$9))/C49</f>
        <v>0.06069889102564106</v>
      </c>
    </row>
    <row r="50" spans="1:13" ht="12.75">
      <c r="A50" s="8" t="s">
        <v>24</v>
      </c>
      <c r="B50">
        <v>11.49</v>
      </c>
      <c r="C50">
        <v>26.5</v>
      </c>
      <c r="D50">
        <v>8013</v>
      </c>
      <c r="E50" s="4">
        <f>B50*C50</f>
        <v>304.485</v>
      </c>
      <c r="F50" s="4">
        <f>D50/$G$9</f>
        <v>9.866874325</v>
      </c>
      <c r="G50" s="4">
        <f>C50-((B50*$C$17)/$B$17)</f>
        <v>24.940523509452255</v>
      </c>
      <c r="H50" s="4">
        <f>F50*G50</f>
        <v>246.08501106747335</v>
      </c>
      <c r="I50" s="4">
        <f>($H$9*G50*PI()*2*D50)/8496.7154</f>
        <v>246.03146356504809</v>
      </c>
      <c r="J50" s="11">
        <f>AVERAGE(H50:I50)</f>
        <v>246.05823731626072</v>
      </c>
      <c r="K50" s="4">
        <f>J50/(D50/1000)^3.2</f>
        <v>0.31542306808894666</v>
      </c>
      <c r="L50" s="12">
        <f>J50/E50</f>
        <v>0.808112837467398</v>
      </c>
      <c r="M50" s="4">
        <f>(B50-(D50/$G$9))/C50</f>
        <v>0.06125002547169814</v>
      </c>
    </row>
    <row r="51" spans="1:13" ht="12.75">
      <c r="A51" s="8" t="s">
        <v>24</v>
      </c>
      <c r="B51">
        <v>11.43</v>
      </c>
      <c r="C51">
        <v>26.1</v>
      </c>
      <c r="D51">
        <v>7988</v>
      </c>
      <c r="E51" s="4">
        <f>B51*C51</f>
        <v>298.32300000000004</v>
      </c>
      <c r="F51" s="4">
        <f>D51/$G$9</f>
        <v>9.836090366666665</v>
      </c>
      <c r="G51" s="4">
        <f>C51-((B51*$C$17)/$B$17)</f>
        <v>24.548666989820653</v>
      </c>
      <c r="H51" s="4">
        <f>F51*G51</f>
        <v>241.4629068930829</v>
      </c>
      <c r="I51" s="4">
        <f>($H$9*G51*PI()*2*D51)/8496.7154</f>
        <v>241.41036514933194</v>
      </c>
      <c r="J51" s="11">
        <f>AVERAGE(H51:I51)</f>
        <v>241.43663602120742</v>
      </c>
      <c r="K51" s="4">
        <f>J51/(D51/1000)^3.2</f>
        <v>0.3126089383512895</v>
      </c>
      <c r="L51" s="12">
        <f>J51/E51</f>
        <v>0.8093128455439487</v>
      </c>
      <c r="M51" s="4">
        <f>(B51-(D51/$G$9))/C51</f>
        <v>0.06106933461047257</v>
      </c>
    </row>
    <row r="52" spans="1:13" ht="12.75">
      <c r="A52" s="8" t="s">
        <v>24</v>
      </c>
      <c r="B52">
        <v>11.42</v>
      </c>
      <c r="C52">
        <v>26</v>
      </c>
      <c r="D52">
        <v>7988</v>
      </c>
      <c r="E52" s="4">
        <f>B52*C52</f>
        <v>296.92</v>
      </c>
      <c r="F52" s="4">
        <f>D52/$G$9</f>
        <v>9.836090366666665</v>
      </c>
      <c r="G52" s="4">
        <f>C52-((B52*$C$17)/$B$17)</f>
        <v>24.450024236548714</v>
      </c>
      <c r="H52" s="4">
        <f>F52*G52</f>
        <v>240.4926478578833</v>
      </c>
      <c r="I52" s="4">
        <f>($H$9*G52*PI()*2*D52)/8496.7154</f>
        <v>240.4403172401486</v>
      </c>
      <c r="J52" s="11">
        <f>AVERAGE(H52:I52)</f>
        <v>240.46648254901595</v>
      </c>
      <c r="K52" s="4">
        <f>J52/(D52/1000)^3.2</f>
        <v>0.31135279656610926</v>
      </c>
      <c r="L52" s="12">
        <f>J52/E52</f>
        <v>0.8098696030884277</v>
      </c>
      <c r="M52" s="4">
        <f>(B52-(D52/$G$9))/C52</f>
        <v>0.060919601282051324</v>
      </c>
    </row>
    <row r="53" spans="1:13" ht="12.75">
      <c r="A53" s="9" t="s">
        <v>44</v>
      </c>
      <c r="B53" s="5">
        <f>AVERAGE(B48:B52)</f>
        <v>11.55</v>
      </c>
      <c r="C53" s="5">
        <f>AVERAGE(C48:C52)</f>
        <v>26.8</v>
      </c>
      <c r="D53" s="5">
        <f>AVERAGE(D48:D52)</f>
        <v>8054.8</v>
      </c>
      <c r="E53" s="5">
        <f>B53*C53</f>
        <v>309.54</v>
      </c>
      <c r="F53" s="5">
        <f>D53/$G$9</f>
        <v>9.918345103333333</v>
      </c>
      <c r="G53" s="5">
        <f>C53-((B53*$C$17)/$B$17)</f>
        <v>25.23238002908386</v>
      </c>
      <c r="H53" s="5">
        <f>F53*G53</f>
        <v>250.2634529069097</v>
      </c>
      <c r="I53" s="5">
        <f>($H$9*G53*PI()*2*D53)/8496.7154</f>
        <v>250.2089961856598</v>
      </c>
      <c r="J53" s="13">
        <f>AVERAGE(H53:I53)</f>
        <v>250.23622454628475</v>
      </c>
      <c r="K53" s="5">
        <f>J53/(D53/1000)^3.2</f>
        <v>0.31548225944231295</v>
      </c>
      <c r="L53" s="14">
        <f>J53/E53</f>
        <v>0.8084132084586313</v>
      </c>
      <c r="M53" s="5">
        <f>(B53-(D53/$G$9))/C53</f>
        <v>0.06088264539800997</v>
      </c>
    </row>
    <row r="56" ht="12.75">
      <c r="A56" s="5" t="s">
        <v>48</v>
      </c>
    </row>
    <row r="57" spans="1:4" ht="12.75">
      <c r="A57" s="5"/>
      <c r="B57" s="15" t="s">
        <v>49</v>
      </c>
      <c r="D57" s="15" t="s">
        <v>50</v>
      </c>
    </row>
    <row r="58" spans="1:7" ht="12.75">
      <c r="A58" s="15" t="s">
        <v>51</v>
      </c>
      <c r="B58" s="15" t="s">
        <v>52</v>
      </c>
      <c r="C58" s="15" t="s">
        <v>20</v>
      </c>
      <c r="D58" s="15" t="s">
        <v>53</v>
      </c>
      <c r="E58" s="15" t="s">
        <v>54</v>
      </c>
      <c r="F58" s="15" t="s">
        <v>8</v>
      </c>
      <c r="G58" s="16" t="s">
        <v>7</v>
      </c>
    </row>
    <row r="59" spans="1:7" ht="12.75">
      <c r="A59" s="17" t="s">
        <v>55</v>
      </c>
      <c r="B59" s="17" t="s">
        <v>56</v>
      </c>
      <c r="C59" s="17">
        <v>23</v>
      </c>
      <c r="D59" s="17">
        <v>276</v>
      </c>
      <c r="E59" s="17" t="s">
        <v>57</v>
      </c>
      <c r="F59" s="17">
        <v>7230</v>
      </c>
      <c r="G59" s="18">
        <f>D59/C59</f>
        <v>12</v>
      </c>
    </row>
    <row r="60" spans="1:7" ht="12.75">
      <c r="A60" s="15" t="s">
        <v>55</v>
      </c>
      <c r="B60" s="15" t="s">
        <v>58</v>
      </c>
      <c r="C60" s="15">
        <v>37</v>
      </c>
      <c r="D60" s="15">
        <v>592</v>
      </c>
      <c r="E60" s="15" t="s">
        <v>59</v>
      </c>
      <c r="F60" s="15">
        <v>9020</v>
      </c>
      <c r="G60" s="16">
        <f>D60/C60</f>
        <v>16</v>
      </c>
    </row>
    <row r="61" spans="1:7" ht="12.75">
      <c r="A61" s="17" t="s">
        <v>60</v>
      </c>
      <c r="B61" s="17" t="s">
        <v>56</v>
      </c>
      <c r="C61" s="17">
        <v>28</v>
      </c>
      <c r="D61" s="17">
        <v>336</v>
      </c>
      <c r="E61" s="17" t="s">
        <v>61</v>
      </c>
      <c r="F61" s="17">
        <v>7000</v>
      </c>
      <c r="G61" s="18">
        <f>D61/C61</f>
        <v>12</v>
      </c>
    </row>
    <row r="62" spans="1:7" ht="12.75">
      <c r="A62" s="15" t="s">
        <v>60</v>
      </c>
      <c r="B62" s="15" t="s">
        <v>58</v>
      </c>
      <c r="C62" s="15">
        <v>43</v>
      </c>
      <c r="D62" s="15">
        <v>688</v>
      </c>
      <c r="E62" s="15" t="s">
        <v>62</v>
      </c>
      <c r="F62" s="15">
        <v>8600</v>
      </c>
      <c r="G62" s="16">
        <f>D62/C62</f>
        <v>16</v>
      </c>
    </row>
    <row r="63" spans="1:7" ht="12.75">
      <c r="A63" s="17" t="s">
        <v>63</v>
      </c>
      <c r="B63" s="17" t="s">
        <v>56</v>
      </c>
      <c r="C63" s="17">
        <v>30</v>
      </c>
      <c r="D63" s="17">
        <v>360</v>
      </c>
      <c r="E63" s="17" t="s">
        <v>64</v>
      </c>
      <c r="F63" s="17">
        <v>6900</v>
      </c>
      <c r="G63" s="18">
        <f>D63/C63</f>
        <v>12</v>
      </c>
    </row>
    <row r="64" spans="1:7" ht="12.75">
      <c r="A64" s="15" t="s">
        <v>63</v>
      </c>
      <c r="B64" s="15" t="s">
        <v>58</v>
      </c>
      <c r="C64" s="15">
        <v>46</v>
      </c>
      <c r="D64" s="15">
        <v>736</v>
      </c>
      <c r="E64" s="15" t="s">
        <v>65</v>
      </c>
      <c r="F64" s="15">
        <v>8400</v>
      </c>
      <c r="G64" s="16">
        <f>D64/C64</f>
        <v>16</v>
      </c>
    </row>
    <row r="66" ht="12.75">
      <c r="A66" s="5" t="s">
        <v>66</v>
      </c>
    </row>
    <row r="67" spans="1:5" ht="12.75">
      <c r="A67" s="5"/>
      <c r="B67" s="15" t="s">
        <v>19</v>
      </c>
      <c r="D67" s="15" t="s">
        <v>50</v>
      </c>
      <c r="E67" s="15" t="s">
        <v>67</v>
      </c>
    </row>
    <row r="68" spans="1:8" ht="12.75">
      <c r="A68" s="15" t="s">
        <v>51</v>
      </c>
      <c r="B68" s="15" t="s">
        <v>52</v>
      </c>
      <c r="C68" s="15" t="s">
        <v>20</v>
      </c>
      <c r="D68" s="15" t="s">
        <v>53</v>
      </c>
      <c r="E68" s="15" t="s">
        <v>68</v>
      </c>
      <c r="F68" s="15" t="s">
        <v>8</v>
      </c>
      <c r="G68" s="16" t="s">
        <v>7</v>
      </c>
      <c r="H68" s="15"/>
    </row>
    <row r="69" spans="1:8" ht="12.75">
      <c r="A69" s="17" t="s">
        <v>55</v>
      </c>
      <c r="B69" s="17" t="s">
        <v>56</v>
      </c>
      <c r="C69" s="17">
        <v>29.3</v>
      </c>
      <c r="D69" s="17">
        <f>G69*C69</f>
        <v>325.23</v>
      </c>
      <c r="E69" s="19">
        <f>(F69*8)/1056</f>
        <v>56.56818181818182</v>
      </c>
      <c r="F69" s="17">
        <v>7467</v>
      </c>
      <c r="G69" s="18">
        <v>11.1</v>
      </c>
      <c r="H69" s="15"/>
    </row>
    <row r="70" spans="1:8" ht="12.75">
      <c r="A70" s="15" t="s">
        <v>55</v>
      </c>
      <c r="B70" s="15" t="s">
        <v>58</v>
      </c>
      <c r="C70" s="15">
        <v>47.4</v>
      </c>
      <c r="D70" s="15">
        <f>G70*C70</f>
        <v>701.52</v>
      </c>
      <c r="E70" s="20">
        <f>(F70*8)/1056</f>
        <v>70.77272727272727</v>
      </c>
      <c r="F70" s="15">
        <v>9342</v>
      </c>
      <c r="G70" s="16">
        <v>14.8</v>
      </c>
      <c r="H70" s="15"/>
    </row>
    <row r="71" spans="1:8" ht="12.75">
      <c r="A71" s="17" t="s">
        <v>60</v>
      </c>
      <c r="B71" s="17" t="s">
        <v>56</v>
      </c>
      <c r="C71" s="17">
        <v>32.1</v>
      </c>
      <c r="D71" s="17">
        <f>G71*C71</f>
        <v>356.31</v>
      </c>
      <c r="E71" s="19">
        <f>(F71*8)/1056</f>
        <v>55.56818181818182</v>
      </c>
      <c r="F71" s="17">
        <v>7335</v>
      </c>
      <c r="G71" s="18">
        <v>11.1</v>
      </c>
      <c r="H71" s="17"/>
    </row>
    <row r="72" spans="1:8" ht="12.75">
      <c r="A72" s="15" t="s">
        <v>60</v>
      </c>
      <c r="B72" s="15" t="s">
        <v>58</v>
      </c>
      <c r="C72" s="15">
        <v>51.5</v>
      </c>
      <c r="D72" s="15">
        <f>G72*C72</f>
        <v>762.2</v>
      </c>
      <c r="E72" s="20">
        <f>(F72*8)/1056</f>
        <v>69.25757575757575</v>
      </c>
      <c r="F72" s="15">
        <v>9142</v>
      </c>
      <c r="G72" s="16">
        <v>14.8</v>
      </c>
      <c r="H72" s="15"/>
    </row>
    <row r="73" spans="1:8" ht="12.75">
      <c r="A73" s="17" t="s">
        <v>63</v>
      </c>
      <c r="B73" s="17" t="s">
        <v>56</v>
      </c>
      <c r="C73" s="17">
        <v>41.1</v>
      </c>
      <c r="D73" s="17">
        <f>G73*C73</f>
        <v>456.21</v>
      </c>
      <c r="E73" s="19">
        <f>(F73*7)/1056</f>
        <v>45.92424242424242</v>
      </c>
      <c r="F73" s="17">
        <v>6928</v>
      </c>
      <c r="G73" s="18">
        <v>11.1</v>
      </c>
      <c r="H73" s="17"/>
    </row>
    <row r="74" spans="1:8" ht="12.75">
      <c r="A74" s="15" t="s">
        <v>63</v>
      </c>
      <c r="B74" s="15" t="s">
        <v>58</v>
      </c>
      <c r="C74" s="15">
        <v>64.4</v>
      </c>
      <c r="D74" s="15">
        <f>G74*C74</f>
        <v>953.1200000000001</v>
      </c>
      <c r="E74" s="20">
        <f>(F74*7)/1056</f>
        <v>56.57007575757576</v>
      </c>
      <c r="F74" s="15">
        <v>8534</v>
      </c>
      <c r="G74" s="16">
        <v>14.8</v>
      </c>
      <c r="H74" s="15"/>
    </row>
    <row r="76" ht="12.75">
      <c r="A76" s="3">
        <v>39335</v>
      </c>
    </row>
    <row r="77" ht="12.75">
      <c r="A77" s="5" t="s">
        <v>69</v>
      </c>
    </row>
    <row r="78" spans="1:12" ht="12.75">
      <c r="A78" t="s">
        <v>46</v>
      </c>
      <c r="B78" t="s">
        <v>19</v>
      </c>
      <c r="C78" t="s">
        <v>20</v>
      </c>
      <c r="D78" t="s">
        <v>8</v>
      </c>
      <c r="E78" t="s">
        <v>36</v>
      </c>
      <c r="F78" t="s">
        <v>37</v>
      </c>
      <c r="G78" t="s">
        <v>38</v>
      </c>
      <c r="H78" t="s">
        <v>39</v>
      </c>
      <c r="I78" t="s">
        <v>40</v>
      </c>
      <c r="J78" t="s">
        <v>41</v>
      </c>
      <c r="K78" t="s">
        <v>42</v>
      </c>
      <c r="L78" t="s">
        <v>43</v>
      </c>
    </row>
    <row r="79" spans="1:13" ht="12.75">
      <c r="A79" s="8" t="s">
        <v>24</v>
      </c>
      <c r="B79">
        <v>15.37</v>
      </c>
      <c r="C79">
        <v>56.3</v>
      </c>
      <c r="D79">
        <v>9582</v>
      </c>
      <c r="E79" s="4">
        <f>B79*C79</f>
        <v>865.3309999999999</v>
      </c>
      <c r="F79" s="4">
        <f>D79/$G$9</f>
        <v>11.798875549999998</v>
      </c>
      <c r="G79" s="4">
        <f>C79-((B79*$C$17)/$B$17)</f>
        <v>54.213911778962675</v>
      </c>
      <c r="H79" s="4">
        <f>F79*G79</f>
        <v>639.6631981586596</v>
      </c>
      <c r="I79" s="4">
        <f>($H$9*G79*PI()*2*D79)/8496.7154</f>
        <v>639.5240089959141</v>
      </c>
      <c r="J79" s="11">
        <f>AVERAGE(H79:I79)</f>
        <v>639.5936035772868</v>
      </c>
      <c r="K79" s="4">
        <f>J79/(D79/1000)^3.2</f>
        <v>0.4626412779550527</v>
      </c>
      <c r="L79" s="12">
        <f>J79/E79</f>
        <v>0.7391317352288164</v>
      </c>
      <c r="M79" s="4">
        <f>(B79-(D79/$G$9))/C79</f>
        <v>0.06343027442273537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G17" sqref="G17"/>
    </sheetView>
  </sheetViews>
  <sheetFormatPr defaultColWidth="10.00390625" defaultRowHeight="12.75"/>
  <cols>
    <col min="1" max="1" width="16.25390625" style="0" customWidth="1"/>
  </cols>
  <sheetData>
    <row r="1" spans="1:2" ht="12.75">
      <c r="A1" t="s">
        <v>0</v>
      </c>
      <c r="B1" s="1">
        <v>39561</v>
      </c>
    </row>
    <row r="2" spans="1:4" ht="12.75">
      <c r="A2" t="s">
        <v>2</v>
      </c>
      <c r="D2" t="s">
        <v>3</v>
      </c>
    </row>
    <row r="3" ht="12.75">
      <c r="B3" s="2" t="s">
        <v>4</v>
      </c>
    </row>
    <row r="4" spans="1:11" ht="12.75">
      <c r="A4" s="3">
        <v>39327</v>
      </c>
      <c r="B4" t="s">
        <v>5</v>
      </c>
      <c r="K4" t="s">
        <v>6</v>
      </c>
    </row>
    <row r="5" spans="1:13" ht="12.75">
      <c r="A5" t="s">
        <v>7</v>
      </c>
      <c r="B5" t="s">
        <v>8</v>
      </c>
      <c r="C5" t="s">
        <v>9</v>
      </c>
      <c r="D5" t="s">
        <v>10</v>
      </c>
      <c r="E5" t="s">
        <v>11</v>
      </c>
      <c r="F5" t="s">
        <v>12</v>
      </c>
      <c r="G5" t="s">
        <v>13</v>
      </c>
      <c r="H5" t="s">
        <v>14</v>
      </c>
      <c r="K5">
        <v>13.4</v>
      </c>
      <c r="L5">
        <v>1.6</v>
      </c>
      <c r="M5">
        <v>10868</v>
      </c>
    </row>
    <row r="6" spans="1:13" ht="12.75">
      <c r="A6">
        <v>1.44</v>
      </c>
      <c r="B6">
        <v>1560</v>
      </c>
      <c r="C6" s="4">
        <f>A6*1.414</f>
        <v>2.0361599999999997</v>
      </c>
      <c r="D6" s="4">
        <f>1000/1560</f>
        <v>0.6410256410256411</v>
      </c>
      <c r="E6" s="4">
        <f>(C6*D6)/1000</f>
        <v>0.0013052307692307692</v>
      </c>
      <c r="F6" s="4">
        <f>1/E6</f>
        <v>766.1480433757662</v>
      </c>
      <c r="G6" s="4">
        <f>F6/0.95</f>
        <v>806.4716246060697</v>
      </c>
      <c r="H6" s="4">
        <f>1352/G6</f>
        <v>1.6764383999999999</v>
      </c>
      <c r="K6">
        <v>13.37</v>
      </c>
      <c r="L6">
        <v>1.6</v>
      </c>
      <c r="M6">
        <v>10851</v>
      </c>
    </row>
    <row r="7" spans="1:13" ht="12.75">
      <c r="A7">
        <v>1.441</v>
      </c>
      <c r="B7">
        <v>1560</v>
      </c>
      <c r="C7" s="4">
        <f>A7*1.414</f>
        <v>2.0375739999999998</v>
      </c>
      <c r="D7" s="4">
        <f>1000/1560</f>
        <v>0.6410256410256411</v>
      </c>
      <c r="E7" s="4">
        <f>(C7*D7)/1000</f>
        <v>0.0013061371794871794</v>
      </c>
      <c r="F7" s="4">
        <f>1/E7</f>
        <v>765.6163653442771</v>
      </c>
      <c r="G7" s="4">
        <f>F7/0.95</f>
        <v>805.9119635202918</v>
      </c>
      <c r="H7" s="4">
        <f>1352/G7</f>
        <v>1.677602593333333</v>
      </c>
      <c r="K7">
        <v>13.34</v>
      </c>
      <c r="L7">
        <v>1.6</v>
      </c>
      <c r="M7">
        <v>10834</v>
      </c>
    </row>
    <row r="8" spans="1:13" ht="12.75">
      <c r="A8">
        <v>1.446</v>
      </c>
      <c r="B8">
        <v>1560</v>
      </c>
      <c r="C8" s="4">
        <f>A8*1.414</f>
        <v>2.044644</v>
      </c>
      <c r="D8" s="4">
        <f>1000/1560</f>
        <v>0.6410256410256411</v>
      </c>
      <c r="E8" s="4">
        <f>(C8*D8)/1000</f>
        <v>0.001310669230769231</v>
      </c>
      <c r="F8" s="4">
        <f>1/E8</f>
        <v>762.9690058513853</v>
      </c>
      <c r="G8" s="4">
        <f>F8/0.95</f>
        <v>803.1252693172477</v>
      </c>
      <c r="H8" s="4">
        <f>1352/G8</f>
        <v>1.6834235600000003</v>
      </c>
      <c r="K8">
        <v>13.32</v>
      </c>
      <c r="L8">
        <v>1.6</v>
      </c>
      <c r="M8">
        <v>10817</v>
      </c>
    </row>
    <row r="9" spans="1:14" ht="12.75">
      <c r="A9" s="5">
        <f>AVERAGE(A6:A8)</f>
        <v>1.4423333333333332</v>
      </c>
      <c r="B9" s="5">
        <v>1560</v>
      </c>
      <c r="C9" s="5">
        <f>A9*1.414</f>
        <v>2.0394593333333333</v>
      </c>
      <c r="D9" s="5">
        <f>1000/1560</f>
        <v>0.6410256410256411</v>
      </c>
      <c r="E9" s="5">
        <f>(C9*D9)/1000</f>
        <v>0.0013073457264957268</v>
      </c>
      <c r="F9" s="5">
        <f>1/E9</f>
        <v>764.9086081311091</v>
      </c>
      <c r="G9" s="5">
        <f>F9/0.95</f>
        <v>805.1669559274833</v>
      </c>
      <c r="H9" s="5">
        <f>1352/G9</f>
        <v>1.6791548511111114</v>
      </c>
      <c r="I9" s="5" t="s">
        <v>15</v>
      </c>
      <c r="K9" s="5">
        <f>AVERAGE(K5:K8)</f>
        <v>13.3575</v>
      </c>
      <c r="L9" s="5">
        <v>1.6</v>
      </c>
      <c r="M9" s="5">
        <f>AVERAGE(M5:M8)</f>
        <v>10842.5</v>
      </c>
      <c r="N9" s="5" t="s">
        <v>15</v>
      </c>
    </row>
    <row r="11" ht="12.75">
      <c r="K11" t="s">
        <v>16</v>
      </c>
    </row>
    <row r="12" spans="1:13" ht="12.75">
      <c r="A12" t="s">
        <v>17</v>
      </c>
      <c r="K12">
        <v>10.43</v>
      </c>
      <c r="L12">
        <v>1.4</v>
      </c>
      <c r="M12">
        <v>8468</v>
      </c>
    </row>
    <row r="13" spans="1:13" ht="12.75">
      <c r="A13" s="3">
        <v>39327</v>
      </c>
      <c r="H13" t="s">
        <v>18</v>
      </c>
      <c r="K13">
        <v>10.33</v>
      </c>
      <c r="L13">
        <v>1.4</v>
      </c>
      <c r="M13">
        <v>8382</v>
      </c>
    </row>
    <row r="14" spans="2:13" ht="12.75">
      <c r="B14" t="s">
        <v>19</v>
      </c>
      <c r="C14" t="s">
        <v>20</v>
      </c>
      <c r="D14" t="s">
        <v>8</v>
      </c>
      <c r="E14" t="s">
        <v>21</v>
      </c>
      <c r="H14" s="6">
        <v>818.6</v>
      </c>
      <c r="I14" t="s">
        <v>22</v>
      </c>
      <c r="J14" t="s">
        <v>23</v>
      </c>
      <c r="K14" s="7">
        <v>10.27</v>
      </c>
      <c r="L14">
        <v>1.4</v>
      </c>
      <c r="M14">
        <v>8331</v>
      </c>
    </row>
    <row r="15" spans="1:13" ht="12.75">
      <c r="A15" s="8" t="s">
        <v>24</v>
      </c>
      <c r="B15">
        <v>14.518</v>
      </c>
      <c r="C15">
        <v>1.4</v>
      </c>
      <c r="D15">
        <v>11570</v>
      </c>
      <c r="E15" s="9" t="s">
        <v>25</v>
      </c>
      <c r="F15" s="4">
        <f>D15/B15</f>
        <v>796.9417275106764</v>
      </c>
      <c r="H15" t="s">
        <v>26</v>
      </c>
      <c r="J15" s="4">
        <f>(B15-(D15/$G$9))/C15</f>
        <v>0.10593531944444251</v>
      </c>
      <c r="K15">
        <v>10.23</v>
      </c>
      <c r="L15">
        <v>1.4</v>
      </c>
      <c r="M15">
        <v>8297</v>
      </c>
    </row>
    <row r="16" spans="2:14" ht="12.75">
      <c r="B16" t="s">
        <v>19</v>
      </c>
      <c r="C16" t="s">
        <v>20</v>
      </c>
      <c r="D16" t="s">
        <v>8</v>
      </c>
      <c r="E16" t="s">
        <v>27</v>
      </c>
      <c r="H16">
        <v>811</v>
      </c>
      <c r="I16" t="s">
        <v>28</v>
      </c>
      <c r="K16" s="5">
        <f>AVERAGE(K12:K15)</f>
        <v>10.315000000000001</v>
      </c>
      <c r="L16" s="5">
        <v>1.4</v>
      </c>
      <c r="M16" s="5">
        <f>AVERAGE(M12:M15)</f>
        <v>8369.5</v>
      </c>
      <c r="N16" s="5" t="s">
        <v>15</v>
      </c>
    </row>
    <row r="17" spans="1:10" ht="12.75">
      <c r="A17" s="8" t="s">
        <v>24</v>
      </c>
      <c r="B17">
        <v>10.773</v>
      </c>
      <c r="C17">
        <v>1.213</v>
      </c>
      <c r="D17">
        <v>8600</v>
      </c>
      <c r="E17" s="9" t="s">
        <v>25</v>
      </c>
      <c r="F17" s="4">
        <f>D17/B17</f>
        <v>798.2920263622018</v>
      </c>
      <c r="J17" s="4">
        <f>(B17-(D17/G9))/C17</f>
        <v>0.07583298807082599</v>
      </c>
    </row>
    <row r="20" spans="1:9" ht="12.75">
      <c r="A20" t="s">
        <v>29</v>
      </c>
      <c r="B20" t="s">
        <v>30</v>
      </c>
      <c r="C20" t="s">
        <v>31</v>
      </c>
      <c r="D20" t="s">
        <v>32</v>
      </c>
      <c r="E20" s="8"/>
      <c r="I20" s="10"/>
    </row>
    <row r="21" spans="1:5" ht="12.75">
      <c r="A21" s="3">
        <v>39332</v>
      </c>
      <c r="D21" t="s">
        <v>33</v>
      </c>
      <c r="E21" t="s">
        <v>34</v>
      </c>
    </row>
    <row r="22" ht="12.75">
      <c r="A22" s="3"/>
    </row>
    <row r="23" spans="1:12" ht="12.75">
      <c r="A23" t="s">
        <v>35</v>
      </c>
      <c r="B23" t="s">
        <v>19</v>
      </c>
      <c r="C23" t="s">
        <v>20</v>
      </c>
      <c r="D23" t="s">
        <v>8</v>
      </c>
      <c r="E23" t="s">
        <v>36</v>
      </c>
      <c r="F23" t="s">
        <v>37</v>
      </c>
      <c r="G23" t="s">
        <v>38</v>
      </c>
      <c r="H23" t="s">
        <v>39</v>
      </c>
      <c r="I23" t="s">
        <v>40</v>
      </c>
      <c r="J23" t="s">
        <v>41</v>
      </c>
      <c r="K23" t="s">
        <v>42</v>
      </c>
      <c r="L23" t="s">
        <v>43</v>
      </c>
    </row>
    <row r="24" spans="1:13" ht="12.75">
      <c r="A24" s="8" t="s">
        <v>24</v>
      </c>
      <c r="B24">
        <v>11.179</v>
      </c>
      <c r="C24">
        <v>32.271</v>
      </c>
      <c r="D24">
        <v>7386</v>
      </c>
      <c r="E24" s="4">
        <f>B24*C24</f>
        <v>360.757509</v>
      </c>
      <c r="F24" s="4">
        <f>D24/$G$9</f>
        <v>9.173252759102565</v>
      </c>
      <c r="G24" s="4">
        <f>C24-((B24*$C$17)/$B$17)</f>
        <v>31.012285899935023</v>
      </c>
      <c r="H24" s="4">
        <f>F24*G24</f>
        <v>284.4835371976565</v>
      </c>
      <c r="I24" s="4">
        <f>($H$9*G24*PI()*2*D24)/8496.7154</f>
        <v>284.4216342689412</v>
      </c>
      <c r="J24" s="11">
        <f>AVERAGE(H24:I24)</f>
        <v>284.45258573329886</v>
      </c>
      <c r="K24" s="4">
        <f>J24/(D24/1000)^3.2</f>
        <v>0.47326034429888925</v>
      </c>
      <c r="L24" s="12">
        <f>J24/E24</f>
        <v>0.7884869438249138</v>
      </c>
      <c r="M24" s="4">
        <f>(B24-(D24/$G$9))/C24</f>
        <v>0.06215324101817219</v>
      </c>
    </row>
    <row r="26" spans="1:12" ht="12.75">
      <c r="A26" t="s">
        <v>45</v>
      </c>
      <c r="B26" t="s">
        <v>19</v>
      </c>
      <c r="C26" t="s">
        <v>20</v>
      </c>
      <c r="D26" t="s">
        <v>8</v>
      </c>
      <c r="E26" t="s">
        <v>36</v>
      </c>
      <c r="F26" t="s">
        <v>37</v>
      </c>
      <c r="G26" t="s">
        <v>38</v>
      </c>
      <c r="H26" t="s">
        <v>39</v>
      </c>
      <c r="I26" t="s">
        <v>40</v>
      </c>
      <c r="J26" t="s">
        <v>41</v>
      </c>
      <c r="K26" t="s">
        <v>42</v>
      </c>
      <c r="L26" t="s">
        <v>43</v>
      </c>
    </row>
    <row r="27" spans="1:13" ht="12.75">
      <c r="A27" s="8" t="s">
        <v>24</v>
      </c>
      <c r="B27">
        <v>11.121</v>
      </c>
      <c r="C27">
        <v>32.952</v>
      </c>
      <c r="D27">
        <v>7311</v>
      </c>
      <c r="E27" s="4">
        <f>B27*C27</f>
        <v>366.459192</v>
      </c>
      <c r="F27" s="4">
        <f>D27/$G$9</f>
        <v>9.080104376089745</v>
      </c>
      <c r="G27" s="4">
        <f>C27-((B27*$C$17)/$B$17)</f>
        <v>31.699816485658587</v>
      </c>
      <c r="H27" s="4">
        <f>F27*G27</f>
        <v>287.8376423926704</v>
      </c>
      <c r="I27" s="4">
        <f>($H$9*G27*PI()*2*D27)/8496.7154</f>
        <v>287.7750096187878</v>
      </c>
      <c r="J27" s="11">
        <f>AVERAGE(H27:I27)</f>
        <v>287.8063260057291</v>
      </c>
      <c r="K27" s="4">
        <f>J27/(D27/1000)^3.2</f>
        <v>0.4947372686024239</v>
      </c>
      <c r="L27" s="12">
        <f>J27/E27</f>
        <v>0.7853707378302823</v>
      </c>
      <c r="M27" s="4">
        <f>(B27-(D27/$G$9))/C27</f>
        <v>0.06193540980548239</v>
      </c>
    </row>
    <row r="29" spans="1:12" ht="12.75">
      <c r="A29" t="s">
        <v>46</v>
      </c>
      <c r="B29" t="s">
        <v>19</v>
      </c>
      <c r="C29" t="s">
        <v>20</v>
      </c>
      <c r="D29" t="s">
        <v>8</v>
      </c>
      <c r="E29" t="s">
        <v>36</v>
      </c>
      <c r="F29" t="s">
        <v>37</v>
      </c>
      <c r="G29" t="s">
        <v>38</v>
      </c>
      <c r="H29" t="s">
        <v>39</v>
      </c>
      <c r="I29" t="s">
        <v>40</v>
      </c>
      <c r="J29" t="s">
        <v>41</v>
      </c>
      <c r="K29" t="s">
        <v>42</v>
      </c>
      <c r="L29" t="s">
        <v>43</v>
      </c>
    </row>
    <row r="30" spans="1:13" ht="12.75">
      <c r="A30" s="8" t="s">
        <v>24</v>
      </c>
      <c r="B30">
        <v>11.378</v>
      </c>
      <c r="C30">
        <v>31.194</v>
      </c>
      <c r="D30">
        <v>7588</v>
      </c>
      <c r="E30" s="4">
        <f>B30*C30</f>
        <v>354.92533199999997</v>
      </c>
      <c r="F30" s="4">
        <f>D30/$G$9</f>
        <v>9.424132404017096</v>
      </c>
      <c r="G30" s="4">
        <f>C30-((B30*$C$17)/$B$17)</f>
        <v>29.912879235124848</v>
      </c>
      <c r="H30" s="4">
        <f>F30*G30</f>
        <v>281.9029344971902</v>
      </c>
      <c r="I30" s="4">
        <f>($H$9*G30*PI()*2*D30)/8496.7154</f>
        <v>281.8415931013726</v>
      </c>
      <c r="J30" s="11">
        <f>AVERAGE(H30:I30)</f>
        <v>281.8722637992814</v>
      </c>
      <c r="K30" s="4">
        <f>J30/(D30/1000)^3.2</f>
        <v>0.4301747473916988</v>
      </c>
      <c r="L30" s="12">
        <f>J30/E30</f>
        <v>0.7941734172957862</v>
      </c>
      <c r="M30" s="4">
        <f>(B30-(D30/$G$9))/C30</f>
        <v>0.06263600679563072</v>
      </c>
    </row>
    <row r="31" ht="12.75">
      <c r="A31" s="5"/>
    </row>
    <row r="32" spans="1:12" ht="12.75">
      <c r="A32" t="s">
        <v>47</v>
      </c>
      <c r="B32" t="s">
        <v>19</v>
      </c>
      <c r="C32" t="s">
        <v>20</v>
      </c>
      <c r="D32" t="s">
        <v>8</v>
      </c>
      <c r="E32" t="s">
        <v>36</v>
      </c>
      <c r="F32" t="s">
        <v>37</v>
      </c>
      <c r="G32" t="s">
        <v>38</v>
      </c>
      <c r="H32" t="s">
        <v>39</v>
      </c>
      <c r="I32" t="s">
        <v>40</v>
      </c>
      <c r="J32" t="s">
        <v>41</v>
      </c>
      <c r="K32" t="s">
        <v>42</v>
      </c>
      <c r="L32" t="s">
        <v>43</v>
      </c>
    </row>
    <row r="33" spans="1:13" ht="12.75">
      <c r="A33" s="8" t="s">
        <v>24</v>
      </c>
      <c r="B33">
        <v>11.64</v>
      </c>
      <c r="C33">
        <v>25.791</v>
      </c>
      <c r="D33">
        <v>8023</v>
      </c>
      <c r="E33" s="4">
        <f>B33*C33</f>
        <v>300.20724</v>
      </c>
      <c r="F33" s="4">
        <f>D33/$G$9</f>
        <v>9.964393025491455</v>
      </c>
      <c r="G33" s="4">
        <f>C33-((B33*$C$17)/$B$17)</f>
        <v>24.480379003063213</v>
      </c>
      <c r="H33" s="4">
        <f>F33*G33</f>
        <v>243.93211779951054</v>
      </c>
      <c r="I33" s="4">
        <f>($H$9*G33*PI()*2*D33)/8496.7154</f>
        <v>243.8790387614464</v>
      </c>
      <c r="J33" s="11">
        <f>AVERAGE(H33:I33)</f>
        <v>243.90557828047847</v>
      </c>
      <c r="K33" s="4">
        <f>J33/(D33/1000)^3.2</f>
        <v>0.3114182056152763</v>
      </c>
      <c r="L33" s="12">
        <f>J33/E33</f>
        <v>0.8124573487317576</v>
      </c>
      <c r="M33" s="4">
        <f>(B33-(D33/$G$9))/C33</f>
        <v>0.06496867025352042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Myers</dc:creator>
  <cp:keywords/>
  <dc:description/>
  <cp:lastModifiedBy>Ken Myers</cp:lastModifiedBy>
  <dcterms:created xsi:type="dcterms:W3CDTF">2007-09-09T10:37:53Z</dcterms:created>
  <dcterms:modified xsi:type="dcterms:W3CDTF">2012-04-24T18:55:31Z</dcterms:modified>
  <cp:category/>
  <cp:version/>
  <cp:contentType/>
  <cp:contentStatus/>
  <cp:revision>7</cp:revision>
</cp:coreProperties>
</file>