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1"/>
  </bookViews>
  <sheets>
    <sheet name="shifted MAC" sheetId="1" r:id="rId1"/>
    <sheet name="traditional MAC" sheetId="2" r:id="rId2"/>
    <sheet name="Shifted MAC Examples" sheetId="3" r:id="rId3"/>
  </sheets>
  <definedNames/>
  <calcPr fullCalcOnLoad="1"/>
</workbook>
</file>

<file path=xl/sharedStrings.xml><?xml version="1.0" encoding="utf-8"?>
<sst xmlns="http://schemas.openxmlformats.org/spreadsheetml/2006/main" count="578" uniqueCount="130">
  <si>
    <t>Shifted MAC &amp; AC wing &amp; horizontal stabilizer 19.3%</t>
  </si>
  <si>
    <t>Wing</t>
  </si>
  <si>
    <t>Root Panel</t>
  </si>
  <si>
    <t>Sea Ranger</t>
  </si>
  <si>
    <t>Root Rib</t>
  </si>
  <si>
    <t>Tip Rib</t>
  </si>
  <si>
    <t>Leading Edge Sweep</t>
  </si>
  <si>
    <t>Span</t>
  </si>
  <si>
    <t>Calculated Area</t>
  </si>
  <si>
    <t>Trailing Edge Sweep</t>
  </si>
  <si>
    <t>Leading Edge Slope</t>
  </si>
  <si>
    <t>Trailing Edge Slope</t>
  </si>
  <si>
    <t>½ slope</t>
  </si>
  <si>
    <t>Panel Mean Chord</t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</si>
  <si>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Panel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</si>
  <si>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Panel</t>
    </r>
  </si>
  <si>
    <t>Wing Results</t>
  </si>
  <si>
    <t>Mean Chord</t>
  </si>
  <si>
    <t>Aerodynamic Center Using Mean Chord</t>
  </si>
  <si>
    <t>Root Rib to Mean Chord</t>
  </si>
  <si>
    <t>Leading Edge Root Rib to Mean Chord AC</t>
  </si>
  <si>
    <t>Results for Shifted MAC</t>
  </si>
  <si>
    <t>Mean Aerodynamic Chord</t>
  </si>
  <si>
    <t>Aerodynamic Center</t>
  </si>
  <si>
    <t>Root Rib to MAC</t>
  </si>
  <si>
    <t>Leading Edge Root Rib to AC</t>
  </si>
  <si>
    <t>Leading Edge Sweep at MAC</t>
  </si>
  <si>
    <t>Horizontal Stabilizer</t>
  </si>
  <si>
    <t>Horizontal Stabilizer Results</t>
  </si>
  <si>
    <t>Root Leading Edge to Horizontal Stabilizer Leading Edge</t>
  </si>
  <si>
    <t>Shifted Tail Moment</t>
  </si>
  <si>
    <t>Flying Surface Areas</t>
  </si>
  <si>
    <t>½ Wing Area</t>
  </si>
  <si>
    <t>Wing Area</t>
  </si>
  <si>
    <t>½ Horizontal Stabilizer Area</t>
  </si>
  <si>
    <t>Horizontal Stabilizer Area</t>
  </si>
  <si>
    <t>ARw =</t>
  </si>
  <si>
    <t>Vbar =</t>
  </si>
  <si>
    <t xml:space="preserve">Neutral Point as % of MAC = </t>
  </si>
  <si>
    <t>Distance from leading edge of MAC to NP =</t>
  </si>
  <si>
    <t>Distance from NP to AC =</t>
  </si>
  <si>
    <t>Percent of MAC between NP and AC =</t>
  </si>
  <si>
    <t>Distance from Root Chord LE to NP =</t>
  </si>
  <si>
    <t>Static Margin 5% LE MAC to CG=</t>
  </si>
  <si>
    <t>Distance from Root Chord LE to CG =</t>
  </si>
  <si>
    <t>Percent of MAC w/Static Margin 5%=</t>
  </si>
  <si>
    <t>Static Margin 15% LE MAC to CG =</t>
  </si>
  <si>
    <t>Percent of MAC w/Static Margin 15%=</t>
  </si>
  <si>
    <t>Static Margin 20% LE MAC to CG =</t>
  </si>
  <si>
    <t>Percent of MAC w/Static Margin 20%=</t>
  </si>
  <si>
    <t>Van Putte</t>
  </si>
  <si>
    <t>CG from mean chord leading edge</t>
  </si>
  <si>
    <t>% of MAC</t>
  </si>
  <si>
    <t>Whitehead</t>
  </si>
  <si>
    <t xml:space="preserve"> </t>
  </si>
  <si>
    <t>Traditional MAC &amp; AC</t>
  </si>
  <si>
    <t>Results</t>
  </si>
  <si>
    <t>Aerodynamic Center on mean chord</t>
  </si>
  <si>
    <t>Root Chord to mean chord</t>
  </si>
  <si>
    <t>Leading Edge Root Rib to AC on mean chord</t>
  </si>
  <si>
    <t>Leading Edge Sweep at Mean Chord</t>
  </si>
  <si>
    <t>Tail Moment</t>
  </si>
  <si>
    <t xml:space="preserve">Neutral Point as % of mean chord = </t>
  </si>
  <si>
    <t>Distance from leading edge of mean chord to NP =</t>
  </si>
  <si>
    <t>Percent of mean chord between NP and AC =</t>
  </si>
  <si>
    <t>Static Margin 5% LE mean chord to CG=</t>
  </si>
  <si>
    <t>Percent of mean chord w/Static Margin 5%=</t>
  </si>
  <si>
    <t>Static Margin 15% LE mean chord to CG =</t>
  </si>
  <si>
    <t>Percent of mean chord w/Static Margin 15%=</t>
  </si>
  <si>
    <t>Static Margin 20% LE mean chord to CG =</t>
  </si>
  <si>
    <t>Percent of mean chord w/Static Margin 20%=</t>
  </si>
  <si>
    <t>% of mean chord</t>
  </si>
  <si>
    <t>Compare</t>
  </si>
  <si>
    <t>Glider</t>
  </si>
  <si>
    <t>Mark's</t>
  </si>
  <si>
    <t>Jim's</t>
  </si>
  <si>
    <t>Glider 2</t>
  </si>
  <si>
    <t>Arthur's</t>
  </si>
  <si>
    <t>Judy</t>
  </si>
  <si>
    <t>Lazy Cub</t>
  </si>
  <si>
    <t>NA XP-51H</t>
  </si>
  <si>
    <t>MiG-17</t>
  </si>
  <si>
    <t>Extra 300</t>
  </si>
  <si>
    <t>MA PT-19</t>
  </si>
  <si>
    <t>He-111</t>
  </si>
  <si>
    <t>Ju-88</t>
  </si>
  <si>
    <t>Jodel</t>
  </si>
  <si>
    <t>Diehl</t>
  </si>
  <si>
    <t>Source:</t>
  </si>
  <si>
    <t>http://chrusion.com/BJ7/SuperCalc7.html</t>
  </si>
  <si>
    <t>Mean</t>
  </si>
  <si>
    <t>Shifted MAC</t>
  </si>
  <si>
    <t>MiG-17 Glider</t>
  </si>
  <si>
    <t>MiG-17 Glide2</t>
  </si>
  <si>
    <t>Sea R Glider</t>
  </si>
  <si>
    <t>SM 15%</t>
  </si>
  <si>
    <t>LE Root to ISCG</t>
  </si>
  <si>
    <t>ARw</t>
  </si>
  <si>
    <t>Vbar</t>
  </si>
  <si>
    <t>VP LE Root to CG</t>
  </si>
  <si>
    <t xml:space="preserve">Redone 12/28 </t>
  </si>
  <si>
    <t>updated drawing 12/28</t>
  </si>
  <si>
    <t>Mistake here, must be mean Vbar?</t>
  </si>
  <si>
    <t xml:space="preserve"> NA XP-51H</t>
  </si>
  <si>
    <t>MiG-17CG</t>
  </si>
  <si>
    <t>ORIG. XP-51H</t>
  </si>
  <si>
    <t>15% shifted MAC SM to Mean</t>
  </si>
  <si>
    <t>Wing Aspect Ratio (ARw)</t>
  </si>
  <si>
    <t>20% sifted MAC SM to Mean</t>
  </si>
  <si>
    <t>Tail Moment Ratio (Vbar)</t>
  </si>
  <si>
    <t>Neutral Point (NP) as % of chord</t>
  </si>
  <si>
    <t>Vbar shifted MAC</t>
  </si>
  <si>
    <t>Distance from leading edge (LE) of chord to NP</t>
  </si>
  <si>
    <t>Vbar Mean Chord</t>
  </si>
  <si>
    <t>Distance from NP to Aerodynamic Center (AC)</t>
  </si>
  <si>
    <t>Percent of chord between NP and AC</t>
  </si>
  <si>
    <t>Distance from Root Chord LE to NP</t>
  </si>
  <si>
    <t>Static Margin 5% LE chord to Center of Gravity (CG)</t>
  </si>
  <si>
    <t>Distance from Root Chord LE to CG</t>
  </si>
  <si>
    <t>Static Margin 5% as % of chord</t>
  </si>
  <si>
    <t>Static Margin 15% LE chord to CG)</t>
  </si>
  <si>
    <t>Static Margin 15% as % of chord</t>
  </si>
  <si>
    <t>Static Margin 20% LE  chord to CG</t>
  </si>
  <si>
    <t>Static Margin 20% as % of chord</t>
  </si>
  <si>
    <t>For Comparison:</t>
  </si>
  <si>
    <t>Van Putte: Distance from Root Chord LE to CG</t>
  </si>
  <si>
    <t>Van Putte: % of chord</t>
  </si>
  <si>
    <t>Whitehead: Distance from Root Chord LE to CG</t>
  </si>
  <si>
    <t>Whitehead: % of chord</t>
  </si>
  <si>
    <t>Thunder Tiger Lazy Tiger Cub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</si>
</sst>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0"/>
    <numFmt numFmtId="166" formatCode="0.00%"/>
    <numFmt numFmtId="167" formatCode="0.00"/>
    <numFmt numFmtId="168" formatCode="0%"/>
    <numFmt numFmtId="169" formatCode="0.0000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2" borderId="0" xfId="0" applyFont="1" applyFill="1" applyAlignment="1">
      <alignment horizontal="center"/>
    </xf>
    <xf numFmtId="164" fontId="0" fillId="0" borderId="0" xfId="0" applyFont="1" applyAlignment="1">
      <alignment horizontal="right"/>
    </xf>
    <xf numFmtId="165" fontId="0" fillId="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4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8" fontId="1" fillId="5" borderId="0" xfId="0" applyNumberFormat="1" applyFont="1" applyFill="1" applyAlignment="1">
      <alignment horizontal="right"/>
    </xf>
    <xf numFmtId="166" fontId="1" fillId="5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164" fontId="2" fillId="3" borderId="0" xfId="0" applyFont="1" applyFill="1" applyAlignment="1">
      <alignment horizontal="right"/>
    </xf>
    <xf numFmtId="166" fontId="2" fillId="3" borderId="0" xfId="0" applyNumberFormat="1" applyFont="1" applyFill="1" applyAlignment="1">
      <alignment horizontal="center"/>
    </xf>
    <xf numFmtId="164" fontId="1" fillId="6" borderId="0" xfId="0" applyFont="1" applyFill="1" applyAlignment="1">
      <alignment horizontal="right"/>
    </xf>
    <xf numFmtId="169" fontId="1" fillId="6" borderId="0" xfId="0" applyNumberFormat="1" applyFont="1" applyFill="1" applyAlignment="1">
      <alignment horizontal="center"/>
    </xf>
    <xf numFmtId="164" fontId="1" fillId="6" borderId="0" xfId="0" applyFont="1" applyFill="1" applyAlignment="1">
      <alignment horizontal="center"/>
    </xf>
    <xf numFmtId="169" fontId="2" fillId="2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6" fontId="1" fillId="6" borderId="0" xfId="0" applyNumberFormat="1" applyFont="1" applyFill="1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1"/>
  <sheetViews>
    <sheetView zoomScale="130" zoomScaleNormal="130" workbookViewId="0" topLeftCell="A106">
      <selection activeCell="A119" sqref="A119"/>
    </sheetView>
  </sheetViews>
  <sheetFormatPr defaultColWidth="12.57421875" defaultRowHeight="12.75"/>
  <cols>
    <col min="1" max="1" width="51.57421875" style="0" customWidth="1"/>
    <col min="2" max="3" width="11.57421875" style="0" customWidth="1"/>
    <col min="4" max="4" width="17.00390625" style="0" customWidth="1"/>
    <col min="5" max="5" width="11.28125" style="0" customWidth="1"/>
    <col min="6" max="6" width="11.7109375" style="0" customWidth="1"/>
    <col min="7" max="7" width="12.140625" style="0" customWidth="1"/>
    <col min="8" max="8" width="12.57421875" style="0" customWidth="1"/>
    <col min="9" max="9" width="12.28125" style="0" customWidth="1"/>
    <col min="10" max="11" width="13.00390625" style="0" customWidth="1"/>
    <col min="12" max="12" width="15.28125" style="0" customWidth="1"/>
    <col min="13" max="13" width="13.28125" style="0" customWidth="1"/>
    <col min="14" max="14" width="13.7109375" style="0" customWidth="1"/>
    <col min="15" max="15" width="12.8515625" style="0" customWidth="1"/>
    <col min="16" max="16" width="13.421875" style="0" customWidth="1"/>
    <col min="17" max="16384" width="11.57421875" style="0" customWidth="1"/>
  </cols>
  <sheetData>
    <row r="1" spans="1:26" s="2" customFormat="1" ht="12.75">
      <c r="A1" s="1" t="s">
        <v>0</v>
      </c>
      <c r="D1" s="1"/>
      <c r="Z1"/>
    </row>
    <row r="2" spans="1:26" s="2" customFormat="1" ht="12.75">
      <c r="A2" s="1" t="s">
        <v>1</v>
      </c>
      <c r="D2" s="1"/>
      <c r="F2" s="1"/>
      <c r="G2" s="1"/>
      <c r="I2" s="1"/>
      <c r="J2" s="1"/>
      <c r="K2" s="1"/>
      <c r="L2" s="1"/>
      <c r="M2" s="1"/>
      <c r="O2" s="1"/>
      <c r="R2"/>
      <c r="S2"/>
      <c r="V2"/>
      <c r="Z2"/>
    </row>
    <row r="3" spans="1:26" s="2" customFormat="1" ht="12.75">
      <c r="A3" s="1" t="s">
        <v>2</v>
      </c>
      <c r="B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/>
      <c r="U3"/>
      <c r="V3"/>
      <c r="W3"/>
      <c r="X3"/>
      <c r="Y3"/>
      <c r="Z3"/>
    </row>
    <row r="4" spans="1:19" ht="12.75">
      <c r="A4" s="3" t="s">
        <v>4</v>
      </c>
      <c r="B4" s="4">
        <v>9.6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3" t="s">
        <v>5</v>
      </c>
      <c r="B5" s="4">
        <v>9.6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3" t="s">
        <v>6</v>
      </c>
      <c r="B6" s="4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3" t="s">
        <v>7</v>
      </c>
      <c r="B7" s="4">
        <v>13.68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" ht="12.75">
      <c r="A8" s="5" t="s">
        <v>8</v>
      </c>
      <c r="B8" s="6">
        <f>(B4+B5)*(B7/2)</f>
        <v>131.328</v>
      </c>
    </row>
    <row r="9" spans="1:8" ht="12.75">
      <c r="A9" s="5" t="s">
        <v>9</v>
      </c>
      <c r="B9" s="6">
        <f>B4-B5-B6</f>
        <v>0</v>
      </c>
      <c r="H9" s="7"/>
    </row>
    <row r="10" spans="1:8" ht="12.75">
      <c r="A10" s="5" t="s">
        <v>10</v>
      </c>
      <c r="B10" s="6">
        <f>IF(B4=B5,1,(B4-(B5+B9))/B7)</f>
        <v>1</v>
      </c>
      <c r="H10" s="7"/>
    </row>
    <row r="11" spans="1:8" ht="12.75">
      <c r="A11" s="5" t="s">
        <v>11</v>
      </c>
      <c r="B11" s="6">
        <f>IF(B4=B5,1,(B4-(B5+B6))/B7)</f>
        <v>1</v>
      </c>
      <c r="H11" s="7"/>
    </row>
    <row r="12" spans="1:8" ht="12.75">
      <c r="A12" s="5" t="s">
        <v>12</v>
      </c>
      <c r="B12" s="6">
        <f>(B10+B11)/2</f>
        <v>1</v>
      </c>
      <c r="H12" s="7"/>
    </row>
    <row r="13" spans="1:12" ht="12.75">
      <c r="A13" s="5" t="s">
        <v>13</v>
      </c>
      <c r="B13" s="6">
        <f>(2/3)*((B4^2+(B4*B5)+B5^2))/(B4+B5)</f>
        <v>9.6</v>
      </c>
      <c r="F13" s="1"/>
      <c r="G13" s="1"/>
      <c r="H13" s="7"/>
      <c r="J13" s="1"/>
      <c r="K13" s="1"/>
      <c r="L13" s="1"/>
    </row>
    <row r="14" spans="1:19" ht="12.75">
      <c r="A14" s="1" t="s">
        <v>14</v>
      </c>
      <c r="B14" s="8"/>
      <c r="E14" s="1"/>
      <c r="F14" s="1"/>
      <c r="G14" s="1"/>
      <c r="H14" s="7"/>
      <c r="J14" s="1"/>
      <c r="K14" s="1"/>
      <c r="L14" s="1"/>
      <c r="N14" s="1"/>
      <c r="O14" s="1"/>
      <c r="P14" s="1"/>
      <c r="Q14" s="1"/>
      <c r="R14" s="1"/>
      <c r="S14" s="1"/>
    </row>
    <row r="15" spans="1:19" ht="12.75">
      <c r="A15" s="3" t="s">
        <v>4</v>
      </c>
      <c r="B15" s="4">
        <v>9.6</v>
      </c>
      <c r="E15" s="1"/>
      <c r="F15" s="1"/>
      <c r="G15" s="1"/>
      <c r="H15" s="7"/>
      <c r="J15" s="1"/>
      <c r="K15" s="1"/>
      <c r="L15" s="1"/>
      <c r="N15" s="1"/>
      <c r="O15" s="1"/>
      <c r="P15" s="1"/>
      <c r="Q15" s="1"/>
      <c r="R15" s="1"/>
      <c r="S15" s="1"/>
    </row>
    <row r="16" spans="1:19" ht="12.75">
      <c r="A16" s="3" t="s">
        <v>5</v>
      </c>
      <c r="B16" s="4">
        <v>4.55</v>
      </c>
      <c r="D16" s="5"/>
      <c r="E16" s="1"/>
      <c r="F16" s="1"/>
      <c r="G16" s="1"/>
      <c r="H16" s="7"/>
      <c r="J16" s="1"/>
      <c r="K16" s="1"/>
      <c r="L16" s="1"/>
      <c r="N16" s="1"/>
      <c r="O16" s="1"/>
      <c r="P16" s="1"/>
      <c r="Q16" s="1"/>
      <c r="R16" s="1"/>
      <c r="S16" s="1"/>
    </row>
    <row r="17" spans="1:19" ht="12.75">
      <c r="A17" s="3" t="s">
        <v>6</v>
      </c>
      <c r="B17" s="4">
        <v>5.05</v>
      </c>
      <c r="D17" s="5"/>
      <c r="E17" s="1"/>
      <c r="F17" s="1"/>
      <c r="G17" s="1"/>
      <c r="H17" s="7"/>
      <c r="J17" s="1"/>
      <c r="K17" s="1"/>
      <c r="L17" s="1"/>
      <c r="N17" s="1"/>
      <c r="O17" s="1"/>
      <c r="P17" s="1"/>
      <c r="Q17" s="1"/>
      <c r="R17" s="1"/>
      <c r="S17" s="1"/>
    </row>
    <row r="18" spans="1:19" ht="12.75">
      <c r="A18" s="3" t="s">
        <v>7</v>
      </c>
      <c r="B18" s="4">
        <v>28.05</v>
      </c>
      <c r="D18" s="5"/>
      <c r="E18" s="1"/>
      <c r="F18" s="1"/>
      <c r="G18" s="1"/>
      <c r="H18" s="7"/>
      <c r="J18" s="1"/>
      <c r="K18" s="1"/>
      <c r="L18" s="1"/>
      <c r="N18" s="1"/>
      <c r="O18" s="1"/>
      <c r="P18" s="1"/>
      <c r="Q18" s="1"/>
      <c r="R18" s="1"/>
      <c r="S18" s="1"/>
    </row>
    <row r="19" spans="1:5" ht="12.75">
      <c r="A19" s="5" t="s">
        <v>8</v>
      </c>
      <c r="B19" s="6">
        <f>(B15+B16)*(B18/2)</f>
        <v>198.45374999999999</v>
      </c>
      <c r="D19" s="5"/>
      <c r="E19" s="5"/>
    </row>
    <row r="20" spans="1:5" ht="12.75">
      <c r="A20" s="5" t="s">
        <v>9</v>
      </c>
      <c r="B20" s="6">
        <f>B15-B16-B17</f>
        <v>0</v>
      </c>
      <c r="D20" s="5"/>
      <c r="E20" s="5"/>
    </row>
    <row r="21" spans="1:5" ht="12.75">
      <c r="A21" s="5" t="s">
        <v>10</v>
      </c>
      <c r="B21" s="6">
        <f>IF(B15=0,0,IF(B15=B16,1,(B15-(B16+B20))/B18))</f>
        <v>0.1800356506238859</v>
      </c>
      <c r="D21" s="5"/>
      <c r="E21" s="5"/>
    </row>
    <row r="22" spans="1:5" ht="12.75">
      <c r="A22" s="5" t="s">
        <v>11</v>
      </c>
      <c r="B22" s="6">
        <f>IF(B15=0,0,IF(B15=B16,1,(B15-(B16+B17))/B18))</f>
        <v>0</v>
      </c>
      <c r="D22" s="5"/>
      <c r="E22" s="5"/>
    </row>
    <row r="23" spans="1:5" ht="12.75">
      <c r="A23" s="5" t="s">
        <v>12</v>
      </c>
      <c r="B23" s="6">
        <f>(B21+B22)/2</f>
        <v>0.09001782531194295</v>
      </c>
      <c r="D23" s="5"/>
      <c r="E23" s="5"/>
    </row>
    <row r="24" spans="1:12" ht="12.75">
      <c r="A24" s="5" t="s">
        <v>13</v>
      </c>
      <c r="B24" s="6">
        <f>IF(B15=0,0,(2/3)*((B15^2+(B15*B16)+B16^2))/(B15+B16))</f>
        <v>7.375382803297997</v>
      </c>
      <c r="D24" s="5"/>
      <c r="E24" s="5"/>
      <c r="J24" s="1"/>
      <c r="K24" s="1"/>
      <c r="L24" s="1"/>
    </row>
    <row r="25" spans="1:17" ht="12.75">
      <c r="A25" s="1" t="s">
        <v>15</v>
      </c>
      <c r="B25" s="8"/>
      <c r="D25" s="5"/>
      <c r="E25" s="5"/>
      <c r="J25" s="1"/>
      <c r="K25" s="1"/>
      <c r="L25" s="1"/>
      <c r="N25" s="1"/>
      <c r="Q25" s="1"/>
    </row>
    <row r="26" spans="1:17" ht="12.75">
      <c r="A26" s="3" t="s">
        <v>4</v>
      </c>
      <c r="B26" s="4">
        <v>0</v>
      </c>
      <c r="E26" s="5"/>
      <c r="H26" s="7"/>
      <c r="J26" s="1"/>
      <c r="K26" s="1"/>
      <c r="L26" s="1"/>
      <c r="N26" s="1"/>
      <c r="Q26" s="1"/>
    </row>
    <row r="27" spans="1:17" ht="12.75">
      <c r="A27" s="3" t="s">
        <v>5</v>
      </c>
      <c r="B27" s="4">
        <v>0</v>
      </c>
      <c r="J27" s="1"/>
      <c r="K27" s="1"/>
      <c r="L27" s="1"/>
      <c r="N27" s="1"/>
      <c r="Q27" s="1"/>
    </row>
    <row r="28" spans="1:17" ht="12.75">
      <c r="A28" s="3" t="s">
        <v>6</v>
      </c>
      <c r="B28" s="4">
        <v>0</v>
      </c>
      <c r="J28" s="1"/>
      <c r="K28" s="1"/>
      <c r="L28" s="1"/>
      <c r="N28" s="1"/>
      <c r="Q28" s="1"/>
    </row>
    <row r="29" spans="1:17" ht="12.75">
      <c r="A29" s="3" t="s">
        <v>7</v>
      </c>
      <c r="B29" s="4">
        <v>0</v>
      </c>
      <c r="J29" s="1"/>
      <c r="K29" s="1"/>
      <c r="L29" s="1"/>
      <c r="N29" s="1"/>
      <c r="Q29" s="1"/>
    </row>
    <row r="30" spans="1:2" ht="12.75">
      <c r="A30" s="5" t="s">
        <v>8</v>
      </c>
      <c r="B30" s="6">
        <f>(B26+B27)*(B29/2)</f>
        <v>0</v>
      </c>
    </row>
    <row r="31" spans="1:2" ht="12.75">
      <c r="A31" s="5" t="s">
        <v>9</v>
      </c>
      <c r="B31" s="6">
        <f>B26-B27-B28</f>
        <v>0</v>
      </c>
    </row>
    <row r="32" spans="1:2" ht="12.75">
      <c r="A32" s="5" t="s">
        <v>10</v>
      </c>
      <c r="B32" s="6">
        <f>IF(B26=0,0,IF(B26=B27,1,(B26-(B27+B31))/B29))</f>
        <v>0</v>
      </c>
    </row>
    <row r="33" spans="1:5" ht="12.75">
      <c r="A33" s="5" t="s">
        <v>11</v>
      </c>
      <c r="B33" s="6">
        <f>IF(B26=0,0,IF(B26=B27,1,(B26-(B27+B28))/B29))</f>
        <v>0</v>
      </c>
      <c r="D33" s="7"/>
      <c r="E33" s="7"/>
    </row>
    <row r="34" spans="1:2" ht="12.75">
      <c r="A34" s="5" t="s">
        <v>12</v>
      </c>
      <c r="B34" s="6">
        <f>(B32+B33)/2</f>
        <v>0</v>
      </c>
    </row>
    <row r="35" spans="1:2" ht="12.75">
      <c r="A35" s="5" t="s">
        <v>13</v>
      </c>
      <c r="B35" s="6">
        <f>IF(B26=0,0,(2/3)*((B26^2+(B26*B27)+B27^2))/(B26+B27))</f>
        <v>0</v>
      </c>
    </row>
    <row r="36" spans="1:2" ht="12.75">
      <c r="A36" s="1" t="s">
        <v>16</v>
      </c>
      <c r="B36" s="8"/>
    </row>
    <row r="37" spans="1:2" ht="12.75">
      <c r="A37" s="3" t="s">
        <v>17</v>
      </c>
      <c r="B37" s="9">
        <f>((B13*B8)+(B24*B19)+(B35*B30))/(B8+B19+B30)</f>
        <v>8.261285456214603</v>
      </c>
    </row>
    <row r="38" spans="1:2" ht="12.75">
      <c r="A38" s="3" t="s">
        <v>18</v>
      </c>
      <c r="B38" s="9">
        <f>B37/4</f>
        <v>2.0653213640536507</v>
      </c>
    </row>
    <row r="39" spans="1:16" ht="12.75">
      <c r="A39" s="3" t="str">
        <f>IF(B15=0,"Tip Distance to the Mean Chord","2nd Panel Tip Distance to Mean Chord")</f>
        <v>2nd Panel Tip Distance to Mean Chord</v>
      </c>
      <c r="B39" s="9">
        <f>IF(B15&gt;0,(B37-(B16*1/B23)*B23)/(2*B23),IF(B4=B5,B7/2,(B37-(B5*1/B12)*B12)/(2*B12)))</f>
        <v>20.61416971224151</v>
      </c>
      <c r="O39" s="5"/>
      <c r="P39" s="7"/>
    </row>
    <row r="40" spans="1:2" ht="12.75">
      <c r="A40" s="3" t="s">
        <v>19</v>
      </c>
      <c r="B40" s="9">
        <f>(B7+B18)-B39</f>
        <v>21.115830287758495</v>
      </c>
    </row>
    <row r="41" spans="1:16" ht="12.75">
      <c r="A41" s="3" t="s">
        <v>20</v>
      </c>
      <c r="B41" s="9">
        <f>IF(AND(B15=0,B4=B5),B38,IF(B15=0,((B7-B39)*B10)+B38,((B18-B39)*B21)+B38-(B15-B5)+B6))</f>
        <v>3.404035907839048</v>
      </c>
      <c r="O41" s="5"/>
      <c r="P41" s="7"/>
    </row>
    <row r="42" spans="1:16" ht="12.75">
      <c r="A42" s="3" t="s">
        <v>21</v>
      </c>
      <c r="O42" s="5"/>
      <c r="P42" s="7"/>
    </row>
    <row r="43" spans="1:16" ht="12.75">
      <c r="A43" s="3" t="s">
        <v>22</v>
      </c>
      <c r="B43" s="9">
        <f>IF(B6+B17+B28&gt;B4,(B37*0.75/0.839),IF(B6&lt;0,(B37*0.75/0.839),IF((B37-(B37*0.193))/0.75&gt;B4,B4,(B37-(B37*0.193))/0.75)))</f>
        <v>8.889143150886913</v>
      </c>
      <c r="C43" s="5"/>
      <c r="D43" s="5"/>
      <c r="O43" s="5"/>
      <c r="P43" s="7"/>
    </row>
    <row r="44" spans="1:16" ht="12.75">
      <c r="A44" s="3" t="s">
        <v>23</v>
      </c>
      <c r="B44" s="9">
        <f>IF((B37-(B37*0.193))/0.75&gt;B4,B4*0.193,B43/4)</f>
        <v>2.222285787721728</v>
      </c>
      <c r="O44" s="5"/>
      <c r="P44" s="7"/>
    </row>
    <row r="45" spans="1:16" ht="12.75">
      <c r="A45" s="3" t="str">
        <f>IF(B21=0,"Tip Distance to the MAC","2nd Panel Tip Distance to MAC")</f>
        <v>2nd Panel Tip Distance to MAC</v>
      </c>
      <c r="B45" s="9">
        <f>IF(B15&gt;0,(B43-(B16*1/B23)*B23)/(2*B23),IF(B4=B5,B7/2,(B43-(B5*1/B12)*B12)/(2*B12)))</f>
        <v>24.10157730344117</v>
      </c>
      <c r="O45" s="5"/>
      <c r="P45" s="7"/>
    </row>
    <row r="46" spans="1:16" ht="12.75">
      <c r="A46" s="3" t="s">
        <v>24</v>
      </c>
      <c r="B46" s="9">
        <f>(B7+B18)-B45</f>
        <v>17.628422696558832</v>
      </c>
      <c r="O46" s="5"/>
      <c r="P46" s="7"/>
    </row>
    <row r="47" spans="1:16" ht="12.75">
      <c r="A47" s="3" t="s">
        <v>25</v>
      </c>
      <c r="B47" s="9">
        <f>IF(AND(B15=0,B4=B5),B44,IF(B15=0,((B7-B45)*B10)+B44,((B18-B45)*B21)+B44-(B15-B5)+B6))</f>
        <v>2.9331426368348152</v>
      </c>
      <c r="C47" s="7"/>
      <c r="D47" s="7"/>
      <c r="O47" s="5"/>
      <c r="P47" s="7"/>
    </row>
    <row r="48" spans="1:16" ht="12.75">
      <c r="A48" s="3" t="s">
        <v>26</v>
      </c>
      <c r="B48" s="9">
        <f>B47-B44</f>
        <v>0.7108568491130871</v>
      </c>
      <c r="O48" s="5"/>
      <c r="P48" s="7"/>
    </row>
    <row r="49" ht="12.75">
      <c r="B49" s="8"/>
    </row>
    <row r="50" spans="1:18" ht="12.75">
      <c r="A50" s="1" t="s">
        <v>27</v>
      </c>
      <c r="B50" s="10"/>
      <c r="E50" s="2"/>
      <c r="F50" s="1"/>
      <c r="G50" s="1"/>
      <c r="H50" s="2"/>
      <c r="I50" s="1"/>
      <c r="J50" s="1"/>
      <c r="K50" s="1"/>
      <c r="L50" s="1"/>
      <c r="M50" s="1"/>
      <c r="P50" s="2"/>
      <c r="Q50" s="2"/>
      <c r="R50" s="2"/>
    </row>
    <row r="51" spans="1:18" ht="12.75">
      <c r="A51" s="1" t="s">
        <v>2</v>
      </c>
      <c r="B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3" t="s">
        <v>4</v>
      </c>
      <c r="B52" s="4">
        <v>6.72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3" t="s">
        <v>5</v>
      </c>
      <c r="B53" s="4">
        <v>3.2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3" t="s">
        <v>6</v>
      </c>
      <c r="B54" s="4">
        <v>2.8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3" t="s">
        <v>7</v>
      </c>
      <c r="B55" s="4">
        <v>12.5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" ht="12.75">
      <c r="A56" s="5" t="s">
        <v>8</v>
      </c>
      <c r="B56" s="6">
        <f>(B52+B53)*(B55/2)</f>
        <v>62</v>
      </c>
    </row>
    <row r="57" spans="1:2" ht="12.75">
      <c r="A57" s="5" t="s">
        <v>9</v>
      </c>
      <c r="B57" s="6">
        <f>B52-B53-B54</f>
        <v>0.7199999999999998</v>
      </c>
    </row>
    <row r="58" spans="1:2" ht="12.75">
      <c r="A58" s="5" t="s">
        <v>10</v>
      </c>
      <c r="B58" s="6">
        <f>IF(B52=B53,1,(B52-(B53+B57))/B55)</f>
        <v>0.22399999999999998</v>
      </c>
    </row>
    <row r="59" spans="1:8" ht="12.75">
      <c r="A59" s="5" t="s">
        <v>11</v>
      </c>
      <c r="B59" s="6">
        <f>IF(B52=B53,1,(B52-(B53+B54))/B55)</f>
        <v>0.05759999999999998</v>
      </c>
      <c r="H59" s="7"/>
    </row>
    <row r="60" spans="1:2" ht="12.75">
      <c r="A60" s="5" t="s">
        <v>12</v>
      </c>
      <c r="B60" s="6">
        <f>(B58+B59)/2</f>
        <v>0.14079999999999998</v>
      </c>
    </row>
    <row r="61" spans="1:2" ht="12.75">
      <c r="A61" s="5" t="s">
        <v>13</v>
      </c>
      <c r="B61" s="6">
        <f>(2/3)*((B52^2+(B52*B53)+B53^2))/(B52+B53)</f>
        <v>5.1681720430107525</v>
      </c>
    </row>
    <row r="62" spans="1:15" ht="12.75">
      <c r="A62" s="1" t="s">
        <v>14</v>
      </c>
      <c r="B62" s="8"/>
      <c r="O62" s="1"/>
    </row>
    <row r="63" spans="1:15" ht="12.75">
      <c r="A63" s="3" t="s">
        <v>4</v>
      </c>
      <c r="B63" s="4">
        <v>0</v>
      </c>
      <c r="H63" s="11"/>
      <c r="O63" s="1"/>
    </row>
    <row r="64" spans="1:15" ht="12.75">
      <c r="A64" s="3" t="s">
        <v>5</v>
      </c>
      <c r="B64" s="4">
        <v>0</v>
      </c>
      <c r="H64" s="11"/>
      <c r="O64" s="1"/>
    </row>
    <row r="65" spans="1:15" ht="12.75">
      <c r="A65" s="3" t="s">
        <v>6</v>
      </c>
      <c r="B65" s="4">
        <v>0</v>
      </c>
      <c r="O65" s="1"/>
    </row>
    <row r="66" spans="1:15" ht="12.75">
      <c r="A66" s="3" t="s">
        <v>7</v>
      </c>
      <c r="B66" s="4">
        <v>0</v>
      </c>
      <c r="O66" s="1"/>
    </row>
    <row r="67" spans="1:17" ht="12.75">
      <c r="A67" s="5" t="s">
        <v>8</v>
      </c>
      <c r="B67" s="6">
        <f>(B63+B64)*(B66/2)</f>
        <v>0</v>
      </c>
      <c r="H67" s="5"/>
      <c r="O67" s="1"/>
      <c r="Q67" s="7"/>
    </row>
    <row r="68" spans="1:17" ht="12.75">
      <c r="A68" s="5" t="s">
        <v>9</v>
      </c>
      <c r="B68" s="6">
        <f>B63-B64-B65</f>
        <v>0</v>
      </c>
      <c r="H68" s="5"/>
      <c r="O68" s="1"/>
      <c r="Q68" s="7"/>
    </row>
    <row r="69" spans="1:15" ht="12.75">
      <c r="A69" s="5" t="s">
        <v>10</v>
      </c>
      <c r="B69" s="6">
        <f>IF(B63=0,0,IF(B63=B64,1,(B63-(B64+B68))/B66))</f>
        <v>0</v>
      </c>
      <c r="H69" s="5"/>
      <c r="O69" s="1"/>
    </row>
    <row r="70" spans="1:15" ht="12.75">
      <c r="A70" s="5" t="s">
        <v>11</v>
      </c>
      <c r="B70" s="6">
        <f>IF(B63=0,0,IF(B63=B64,1,(B63-(B64+B65))/B66))</f>
        <v>0</v>
      </c>
      <c r="H70" s="5"/>
      <c r="O70" s="1"/>
    </row>
    <row r="71" spans="1:15" ht="12.75">
      <c r="A71" s="5" t="s">
        <v>12</v>
      </c>
      <c r="B71" s="6">
        <f>(B69+B70)/2</f>
        <v>0</v>
      </c>
      <c r="O71" s="1"/>
    </row>
    <row r="72" spans="1:15" ht="12.75">
      <c r="A72" s="5" t="s">
        <v>13</v>
      </c>
      <c r="B72" s="6">
        <f>IF(B63=0,0,(2/3)*((B63^2+(B63*B64)+B64^2))/(B63+B64))</f>
        <v>0</v>
      </c>
      <c r="O72" s="1"/>
    </row>
    <row r="73" spans="1:15" ht="12.75">
      <c r="A73" s="1" t="s">
        <v>15</v>
      </c>
      <c r="B73" s="8"/>
      <c r="O73" s="1"/>
    </row>
    <row r="74" spans="1:15" ht="12.75">
      <c r="A74" s="3" t="s">
        <v>4</v>
      </c>
      <c r="B74" s="4">
        <v>0</v>
      </c>
      <c r="O74" s="1"/>
    </row>
    <row r="75" spans="1:15" ht="12.75">
      <c r="A75" s="3" t="s">
        <v>5</v>
      </c>
      <c r="B75" s="4">
        <v>0</v>
      </c>
      <c r="O75" s="1"/>
    </row>
    <row r="76" spans="1:15" ht="12.75">
      <c r="A76" s="3" t="s">
        <v>6</v>
      </c>
      <c r="B76" s="4">
        <v>0</v>
      </c>
      <c r="O76" s="1"/>
    </row>
    <row r="77" spans="1:15" ht="12.75">
      <c r="A77" s="3" t="s">
        <v>7</v>
      </c>
      <c r="B77" s="4">
        <v>0</v>
      </c>
      <c r="O77" s="1"/>
    </row>
    <row r="78" spans="1:15" ht="12.75">
      <c r="A78" s="5" t="s">
        <v>8</v>
      </c>
      <c r="B78" s="6">
        <f>(B74+B75)*(B77/2)</f>
        <v>0</v>
      </c>
      <c r="O78" s="12"/>
    </row>
    <row r="79" spans="1:15" ht="12.75">
      <c r="A79" s="5" t="s">
        <v>9</v>
      </c>
      <c r="B79" s="6">
        <f>B74-B75-B76</f>
        <v>0</v>
      </c>
      <c r="O79" s="12"/>
    </row>
    <row r="80" spans="1:15" ht="12.75">
      <c r="A80" s="5" t="s">
        <v>10</v>
      </c>
      <c r="B80" s="6">
        <f>IF(B74=0,0,IF(B74=B75,1,(B74-(B75+B79))/B77))</f>
        <v>0</v>
      </c>
      <c r="O80" s="12"/>
    </row>
    <row r="81" spans="1:15" ht="12.75">
      <c r="A81" s="5" t="s">
        <v>11</v>
      </c>
      <c r="B81" s="6">
        <f>IF(B74=0,0,IF(B74=B75,1,(B74-(B75+B76))/B77))</f>
        <v>0</v>
      </c>
      <c r="O81" s="12"/>
    </row>
    <row r="82" spans="1:15" ht="12.75">
      <c r="A82" s="5" t="s">
        <v>12</v>
      </c>
      <c r="B82" s="6">
        <f>(B80+B81)/2</f>
        <v>0</v>
      </c>
      <c r="O82" s="12"/>
    </row>
    <row r="83" spans="1:15" ht="12.75">
      <c r="A83" s="5" t="s">
        <v>13</v>
      </c>
      <c r="B83" s="6">
        <f>IF(B74=0,0,(2/3)*((B74^2+(B74*B75)+B75^2))/(B74+B75))</f>
        <v>0</v>
      </c>
      <c r="O83" s="12"/>
    </row>
    <row r="84" spans="1:15" ht="12.75">
      <c r="A84" s="1" t="s">
        <v>28</v>
      </c>
      <c r="B84" s="8"/>
      <c r="O84" s="12"/>
    </row>
    <row r="85" spans="1:15" ht="12.75">
      <c r="A85" s="3" t="s">
        <v>17</v>
      </c>
      <c r="B85" s="9">
        <f>((B61*B56)+(B72*B67)+(B83*B78))/(B56+B67+B78)</f>
        <v>5.1681720430107525</v>
      </c>
      <c r="O85" s="12"/>
    </row>
    <row r="86" spans="1:15" ht="12.75">
      <c r="A86" s="3" t="s">
        <v>18</v>
      </c>
      <c r="B86" s="9">
        <f>B85/4</f>
        <v>1.2920430107526881</v>
      </c>
      <c r="O86" s="12"/>
    </row>
    <row r="87" spans="1:15" ht="12.75">
      <c r="A87" s="3" t="str">
        <f>IF(B63=0,"Tip Distance to the Mean Chord","2nd Panel Tip Distance to Mean Chord")</f>
        <v>Tip Distance to the Mean Chord</v>
      </c>
      <c r="B87" s="9">
        <f>IF(B63&gt;0,(B85-(B64*1/B71)*B71)/(2*B71),IF(B52=B53,B55/2,(B85-(B53*1/B60)*B60)/(2*B60)))</f>
        <v>6.989247311827957</v>
      </c>
      <c r="O87" s="12"/>
    </row>
    <row r="88" spans="1:15" ht="12.75">
      <c r="A88" s="3" t="s">
        <v>19</v>
      </c>
      <c r="B88" s="9">
        <f>(B55+B66)-B87</f>
        <v>5.510752688172043</v>
      </c>
      <c r="O88" s="12"/>
    </row>
    <row r="89" spans="1:15" ht="12.75">
      <c r="A89" s="3" t="s">
        <v>25</v>
      </c>
      <c r="B89" s="9">
        <f>IF(AND(B63=0,B52=B53),B86,IF(B63=0,((B55-B87)*B58)+B86,((B66-B87)*B69)+B86-(B63-B53)+B54))</f>
        <v>2.5264516129032257</v>
      </c>
      <c r="O89" s="12"/>
    </row>
    <row r="90" spans="1:15" ht="12.75">
      <c r="A90" s="3" t="s">
        <v>21</v>
      </c>
      <c r="O90" s="12"/>
    </row>
    <row r="91" spans="1:15" ht="12.75">
      <c r="A91" s="3" t="s">
        <v>22</v>
      </c>
      <c r="B91" s="9">
        <f>(IF(B54+B65+B76&gt;B52,(B85*0.75/0.837),IF(B54&lt;0,(B85*0.75/0.837),IF((B85-(B85*0.193))/0.75&gt;B52,B52,(B85-(B85*0.193))/0.75))))</f>
        <v>5.56095311827957</v>
      </c>
      <c r="O91" s="12"/>
    </row>
    <row r="92" spans="1:15" ht="12.75">
      <c r="A92" s="3" t="s">
        <v>23</v>
      </c>
      <c r="B92" s="9">
        <f>IF((B85-(B85*0.193))/0.75&gt;B52,B52*0.193,B91/4)</f>
        <v>1.3902382795698924</v>
      </c>
      <c r="O92" s="12"/>
    </row>
    <row r="93" spans="1:15" ht="12.75">
      <c r="A93" s="3" t="str">
        <f>IF(B69=0,"Tip Distance to the MAC","2nd Panel Tip Distance to MAC")</f>
        <v>Tip Distance to the MAC</v>
      </c>
      <c r="B93" s="9">
        <f>IF(B63&gt;0,(B91-(B64*1/B71)*B71)/(2*B71),IF(B52=B53,B55/2,(B91-(B53*1/B60)*B60)/(2*B60)))</f>
        <v>8.384066471163246</v>
      </c>
      <c r="O93" s="12"/>
    </row>
    <row r="94" spans="1:15" ht="12.75">
      <c r="A94" s="3" t="s">
        <v>24</v>
      </c>
      <c r="B94" s="9">
        <f>(B55+B66)-B93</f>
        <v>4.115933528836754</v>
      </c>
      <c r="O94" s="12"/>
    </row>
    <row r="95" spans="1:18" ht="12.75">
      <c r="A95" s="3" t="s">
        <v>25</v>
      </c>
      <c r="B95" s="9">
        <f>IF(AND(B63=0,B52=B53),B92,IF(B63=0,((B55-B93)*B58)+B92,((B66-B93)*B69)+B92-(B63-B53)+B54))</f>
        <v>2.312207390029325</v>
      </c>
      <c r="F95" s="1"/>
      <c r="G95" s="1"/>
      <c r="I95" s="1"/>
      <c r="J95" s="1"/>
      <c r="K95" s="1"/>
      <c r="L95" s="1"/>
      <c r="M95" s="1"/>
      <c r="P95" s="12"/>
      <c r="R95" s="2"/>
    </row>
    <row r="96" spans="2:18" ht="12.75">
      <c r="B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5" t="s">
        <v>29</v>
      </c>
      <c r="B97" s="4">
        <v>28.75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6" ht="12.75">
      <c r="A98" s="5" t="s">
        <v>30</v>
      </c>
      <c r="B98" s="9">
        <f>B97-B47+B95</f>
        <v>28.12906475319451</v>
      </c>
      <c r="F98" s="12"/>
    </row>
    <row r="99" spans="1:6" ht="12.75">
      <c r="A99" s="1" t="s">
        <v>31</v>
      </c>
      <c r="F99" s="12"/>
    </row>
    <row r="100" spans="1:5" ht="12.75">
      <c r="A100" s="5" t="s">
        <v>32</v>
      </c>
      <c r="B100" s="9">
        <f>B8+B19+B30</f>
        <v>329.78175</v>
      </c>
      <c r="E100" s="5"/>
    </row>
    <row r="101" spans="1:5" ht="12.75">
      <c r="A101" s="5" t="s">
        <v>33</v>
      </c>
      <c r="B101" s="9">
        <f>B100*2</f>
        <v>659.5635</v>
      </c>
      <c r="E101" s="5"/>
    </row>
    <row r="102" spans="1:5" ht="12.75">
      <c r="A102" s="5" t="s">
        <v>34</v>
      </c>
      <c r="B102" s="9">
        <f>B56+B67+B78</f>
        <v>62</v>
      </c>
      <c r="E102" s="5"/>
    </row>
    <row r="103" spans="1:2" ht="12.75">
      <c r="A103" s="5" t="s">
        <v>35</v>
      </c>
      <c r="B103" s="9">
        <f>B102*2</f>
        <v>124</v>
      </c>
    </row>
    <row r="105" spans="1:3" ht="12.75">
      <c r="A105" s="5" t="s">
        <v>36</v>
      </c>
      <c r="B105" s="7">
        <f>((B7+B18+B29)*2)^2/B101</f>
        <v>10.56088094626219</v>
      </c>
      <c r="C105" s="7"/>
    </row>
    <row r="106" spans="1:3" ht="12.75">
      <c r="A106" s="5" t="s">
        <v>37</v>
      </c>
      <c r="B106" s="7">
        <f>(B103/B101)*(B98/B43)</f>
        <v>0.5949225953517033</v>
      </c>
      <c r="C106" s="7"/>
    </row>
    <row r="107" spans="1:20" ht="12.75">
      <c r="A107" s="5" t="s">
        <v>38</v>
      </c>
      <c r="B107" s="13">
        <f>0.25+(0.25*SQRT(SQRT(B105))*B106)</f>
        <v>0.5181177148397236</v>
      </c>
      <c r="C107" s="1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5" t="s">
        <v>39</v>
      </c>
      <c r="B108" s="7">
        <f>B43*B107</f>
        <v>4.605622536220707</v>
      </c>
      <c r="C108" s="7"/>
      <c r="E108" s="1"/>
      <c r="F108" s="1"/>
      <c r="G108" s="14"/>
      <c r="H108" s="1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4"/>
      <c r="T108" s="14"/>
    </row>
    <row r="109" spans="1:20" ht="12.75">
      <c r="A109" s="5" t="s">
        <v>40</v>
      </c>
      <c r="B109" s="7">
        <f>B108-B44</f>
        <v>2.383336748498979</v>
      </c>
      <c r="C109" s="7"/>
      <c r="E109" s="1"/>
      <c r="F109" s="1"/>
      <c r="G109" s="14"/>
      <c r="H109" s="1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4"/>
      <c r="T109" s="14"/>
    </row>
    <row r="110" spans="1:20" ht="12.75">
      <c r="A110" s="5" t="s">
        <v>41</v>
      </c>
      <c r="B110" s="13">
        <f>B109/B43</f>
        <v>0.2681177148397236</v>
      </c>
      <c r="C110" s="13"/>
      <c r="E110" s="1"/>
      <c r="F110" s="1"/>
      <c r="G110" s="14"/>
      <c r="H110" s="1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4"/>
      <c r="T110" s="14"/>
    </row>
    <row r="111" spans="1:20" ht="12.75">
      <c r="A111" s="5" t="s">
        <v>42</v>
      </c>
      <c r="B111" s="7">
        <f>B47+B109</f>
        <v>5.316479385333794</v>
      </c>
      <c r="C111" s="7"/>
      <c r="E111" s="1"/>
      <c r="F111" s="1"/>
      <c r="G111" s="14"/>
      <c r="H111" s="1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4"/>
      <c r="T111" s="14"/>
    </row>
    <row r="112" spans="1:20" ht="12.75">
      <c r="A112" s="5" t="s">
        <v>43</v>
      </c>
      <c r="B112" s="7">
        <f>B108-(B43*0.05)</f>
        <v>4.161165378676362</v>
      </c>
      <c r="C112" s="7"/>
      <c r="E112" s="1"/>
      <c r="F112" s="1"/>
      <c r="G112" s="14"/>
      <c r="H112" s="1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4"/>
      <c r="T112" s="14"/>
    </row>
    <row r="113" spans="1:20" ht="12.75">
      <c r="A113" s="5" t="s">
        <v>44</v>
      </c>
      <c r="B113" s="7">
        <f>B111-(B108-B112)</f>
        <v>4.872022227789449</v>
      </c>
      <c r="C113" s="7"/>
      <c r="E113" s="1"/>
      <c r="F113" s="1"/>
      <c r="G113" s="14"/>
      <c r="H113" s="1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4"/>
      <c r="T113" s="14"/>
    </row>
    <row r="114" spans="1:20" ht="12.75">
      <c r="A114" s="5" t="s">
        <v>45</v>
      </c>
      <c r="B114" s="13">
        <f>B112/B43</f>
        <v>0.4681177148397236</v>
      </c>
      <c r="C114" s="13"/>
      <c r="D114" s="3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14" ht="12.75">
      <c r="A115" s="5" t="s">
        <v>46</v>
      </c>
      <c r="B115" s="16">
        <f>B108-(B43*0.15)</f>
        <v>3.2722510635876705</v>
      </c>
      <c r="C115" s="7"/>
      <c r="E115" s="12"/>
      <c r="F115" s="12"/>
      <c r="M115" s="12"/>
      <c r="N115" s="12"/>
    </row>
    <row r="116" spans="1:14" ht="12.75">
      <c r="A116" s="5" t="s">
        <v>44</v>
      </c>
      <c r="B116" s="16">
        <f>B111-(B108-B115)</f>
        <v>3.9831079127007576</v>
      </c>
      <c r="C116" s="7"/>
      <c r="E116" s="15"/>
      <c r="F116" s="15"/>
      <c r="M116" s="15"/>
      <c r="N116" s="15"/>
    </row>
    <row r="117" spans="1:33" ht="12.75">
      <c r="A117" s="5" t="s">
        <v>47</v>
      </c>
      <c r="B117" s="17">
        <f>B115/B43</f>
        <v>0.3681177148397236</v>
      </c>
      <c r="C117" s="13"/>
      <c r="D117" s="7"/>
      <c r="E117" s="7"/>
      <c r="F117" s="18"/>
      <c r="G117" s="15"/>
      <c r="H117" s="15"/>
      <c r="I117" s="15"/>
      <c r="J117" s="15"/>
      <c r="K117" s="15"/>
      <c r="L117" s="15"/>
      <c r="M117" s="15"/>
      <c r="N117" s="15"/>
      <c r="O117" s="15"/>
      <c r="Q117" s="15"/>
      <c r="T117" s="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20" ht="12.75">
      <c r="A118" s="3" t="s">
        <v>48</v>
      </c>
      <c r="B118" s="19">
        <f>B108-(B43*0.2)</f>
        <v>2.8277939060433246</v>
      </c>
      <c r="C118" s="7"/>
      <c r="E118" s="3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13" ht="12.75">
      <c r="A119" s="3" t="s">
        <v>44</v>
      </c>
      <c r="B119" s="19">
        <f>B111-(B108-B118)</f>
        <v>3.5386507551564117</v>
      </c>
      <c r="C119" s="7"/>
      <c r="D119" s="7"/>
      <c r="K119" s="12"/>
      <c r="L119" s="12"/>
      <c r="M119" s="12"/>
    </row>
    <row r="120" spans="1:15" ht="12.75">
      <c r="A120" s="3" t="s">
        <v>49</v>
      </c>
      <c r="B120" s="20">
        <f>B118/B43</f>
        <v>0.31811771483972356</v>
      </c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7"/>
      <c r="O120" s="7"/>
    </row>
    <row r="121" spans="1:15" ht="12.75">
      <c r="A121" s="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7"/>
      <c r="O121" s="7"/>
    </row>
    <row r="122" spans="1:15" ht="12.75">
      <c r="A122" s="5" t="s">
        <v>50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7"/>
      <c r="O122" s="7"/>
    </row>
    <row r="123" spans="1:13" ht="12.75">
      <c r="A123" s="5" t="s">
        <v>51</v>
      </c>
      <c r="B123" s="11">
        <f>B44+(((B98/3)*(B102/B100))-B43/10)</f>
        <v>3.09615551055919</v>
      </c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3" ht="12.75">
      <c r="A124" s="5" t="s">
        <v>52</v>
      </c>
      <c r="B124" s="13">
        <f>B123/B43</f>
        <v>0.3483075317839011</v>
      </c>
      <c r="C124" s="13"/>
    </row>
    <row r="125" spans="1:3" ht="12.75">
      <c r="A125" s="5" t="s">
        <v>44</v>
      </c>
      <c r="B125" s="7">
        <f>B123+B48</f>
        <v>3.807012359672277</v>
      </c>
      <c r="C125" s="7"/>
    </row>
    <row r="127" ht="12.75">
      <c r="A127" s="5" t="s">
        <v>53</v>
      </c>
    </row>
    <row r="128" spans="1:3" ht="12.75">
      <c r="A128" s="5" t="s">
        <v>51</v>
      </c>
      <c r="B128" s="7">
        <f>(B43/6)+((3*B98*B103)/(8*B101))</f>
        <v>3.464655901148075</v>
      </c>
      <c r="C128" s="7"/>
    </row>
    <row r="129" spans="1:4" ht="12.75">
      <c r="A129" s="5" t="s">
        <v>52</v>
      </c>
      <c r="B129" s="13">
        <f>B128/B43</f>
        <v>0.3897626399235555</v>
      </c>
      <c r="C129" s="13"/>
      <c r="D129" t="s">
        <v>54</v>
      </c>
    </row>
    <row r="130" spans="1:3" ht="12.75">
      <c r="A130" s="5" t="s">
        <v>44</v>
      </c>
      <c r="B130" s="7">
        <f>B128+B48</f>
        <v>4.175512750261162</v>
      </c>
      <c r="C130" s="7"/>
    </row>
    <row r="131" spans="6:12" ht="12.75">
      <c r="F131" s="2"/>
      <c r="H131" s="1"/>
      <c r="L131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="130" zoomScaleNormal="130" workbookViewId="0" topLeftCell="A1">
      <selection activeCell="A106" sqref="A106"/>
    </sheetView>
  </sheetViews>
  <sheetFormatPr defaultColWidth="12.57421875" defaultRowHeight="12.75"/>
  <cols>
    <col min="1" max="1" width="47.28125" style="0" customWidth="1"/>
    <col min="2" max="16384" width="11.57421875" style="0" customWidth="1"/>
  </cols>
  <sheetData>
    <row r="1" spans="1:4" s="2" customFormat="1" ht="12.75">
      <c r="A1" s="1" t="s">
        <v>55</v>
      </c>
      <c r="D1" s="1"/>
    </row>
    <row r="2" spans="1:17" s="2" customFormat="1" ht="12.75">
      <c r="A2" s="1" t="s">
        <v>1</v>
      </c>
      <c r="D2" s="1"/>
      <c r="J2" s="1"/>
      <c r="K2" s="1"/>
      <c r="L2" s="1"/>
      <c r="M2"/>
      <c r="O2" s="1"/>
      <c r="P2" s="1"/>
      <c r="Q2" s="1"/>
    </row>
    <row r="3" spans="1:17" s="2" customFormat="1" ht="12.75">
      <c r="A3" s="1" t="s">
        <v>2</v>
      </c>
      <c r="B3" s="1" t="s">
        <v>3</v>
      </c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3" t="s">
        <v>4</v>
      </c>
      <c r="B4" s="4">
        <v>9.6</v>
      </c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3" t="s">
        <v>5</v>
      </c>
      <c r="B5" s="4">
        <v>9.6</v>
      </c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3" t="s">
        <v>6</v>
      </c>
      <c r="B6" s="4">
        <v>0</v>
      </c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3" t="s">
        <v>7</v>
      </c>
      <c r="B7" s="4">
        <v>13.68</v>
      </c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5" t="s">
        <v>8</v>
      </c>
      <c r="B8" s="6">
        <f>(B4+B5)*(B7/2)</f>
        <v>131.328</v>
      </c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5" t="s">
        <v>9</v>
      </c>
      <c r="B9" s="6">
        <f>B4-B5-B6</f>
        <v>0</v>
      </c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5" t="s">
        <v>10</v>
      </c>
      <c r="B10" s="6">
        <f>IF(B4=B5,1,(B4-(B5+B9))/B7)</f>
        <v>1</v>
      </c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5" t="s">
        <v>11</v>
      </c>
      <c r="B11" s="6">
        <f>IF(B4=B5,1,(B4-(B5+B6))/B7)</f>
        <v>1</v>
      </c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5" t="s">
        <v>12</v>
      </c>
      <c r="B12" s="6">
        <f>(B10+B11)/2</f>
        <v>1</v>
      </c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5" t="s">
        <v>13</v>
      </c>
      <c r="B13" s="6">
        <f>(2/3)*((B4^2+(B4*B5)+B5^2))/(B4+B5)</f>
        <v>9.6</v>
      </c>
      <c r="D13" s="1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14</v>
      </c>
      <c r="B14" s="8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3" t="s">
        <v>4</v>
      </c>
      <c r="B15" s="4">
        <v>9.6</v>
      </c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3" t="s">
        <v>5</v>
      </c>
      <c r="B16" s="4">
        <v>4.55</v>
      </c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3" t="s">
        <v>6</v>
      </c>
      <c r="B17" s="4">
        <v>5.05</v>
      </c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3" t="s">
        <v>7</v>
      </c>
      <c r="B18" s="4">
        <v>28.05</v>
      </c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5" t="s">
        <v>8</v>
      </c>
      <c r="B19" s="6">
        <f>(B15+B16)*(B18/2)</f>
        <v>198.45374999999999</v>
      </c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5" t="s">
        <v>9</v>
      </c>
      <c r="B20" s="6">
        <f>B15-B16-B17</f>
        <v>0</v>
      </c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5" t="s">
        <v>10</v>
      </c>
      <c r="B21" s="6">
        <f>IF(B15=0,0,IF(B15=B16,1,(B15-(B16+B20))/B18))</f>
        <v>0.1800356506238859</v>
      </c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5" t="s">
        <v>11</v>
      </c>
      <c r="B22" s="6">
        <f>IF(B15=0,0,IF(B15=B16,1,(B15-(B16+B17))/B18))</f>
        <v>0</v>
      </c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5" t="s">
        <v>12</v>
      </c>
      <c r="B23" s="6">
        <f>(B21+B22)/2</f>
        <v>0.09001782531194295</v>
      </c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5" t="s">
        <v>13</v>
      </c>
      <c r="B24" s="6">
        <f>IF(B15=0,0,(2/3)*((B15^2+(B15*B16)+B16^2))/(B15+B16))</f>
        <v>7.375382803297997</v>
      </c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15</v>
      </c>
      <c r="B25" s="8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3" t="s">
        <v>4</v>
      </c>
      <c r="B26" s="4">
        <v>0</v>
      </c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3" t="s">
        <v>5</v>
      </c>
      <c r="B27" s="4">
        <v>0</v>
      </c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3" t="s">
        <v>6</v>
      </c>
      <c r="B28" s="4">
        <v>0</v>
      </c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3" t="s">
        <v>7</v>
      </c>
      <c r="B29" s="4">
        <v>0</v>
      </c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" ht="12.75">
      <c r="A30" s="5" t="s">
        <v>8</v>
      </c>
      <c r="B30" s="6">
        <f>(B26+B27)*(B29/2)</f>
        <v>0</v>
      </c>
    </row>
    <row r="31" spans="1:2" ht="12.75">
      <c r="A31" s="5" t="s">
        <v>9</v>
      </c>
      <c r="B31" s="6">
        <f>B26-B27-B28</f>
        <v>0</v>
      </c>
    </row>
    <row r="32" spans="1:2" ht="12.75">
      <c r="A32" s="5" t="s">
        <v>10</v>
      </c>
      <c r="B32" s="6">
        <f>IF(B26=0,0,IF(B26=B27,1,(B26-(B27+B31))/B29))</f>
        <v>0</v>
      </c>
    </row>
    <row r="33" spans="1:5" ht="12.75">
      <c r="A33" s="5" t="s">
        <v>11</v>
      </c>
      <c r="B33" s="6">
        <f>IF(B26=0,0,IF(B26=B27,1,(B26-(B27+B28))/B29))</f>
        <v>0</v>
      </c>
      <c r="D33" s="7"/>
      <c r="E33" s="7"/>
    </row>
    <row r="34" spans="1:2" ht="12.75">
      <c r="A34" s="5" t="s">
        <v>12</v>
      </c>
      <c r="B34" s="6">
        <f>(B32+B33)/2</f>
        <v>0</v>
      </c>
    </row>
    <row r="35" spans="1:2" ht="12.75">
      <c r="A35" s="5" t="s">
        <v>13</v>
      </c>
      <c r="B35" s="6">
        <f>IF(B26=0,0,(2/3)*((B26^2+(B26*B27)+B27^2))/(B26+B27))</f>
        <v>0</v>
      </c>
    </row>
    <row r="36" spans="1:2" ht="12.75">
      <c r="A36" s="1" t="s">
        <v>56</v>
      </c>
      <c r="B36" s="8"/>
    </row>
    <row r="37" spans="1:2" ht="12.75">
      <c r="A37" s="3" t="s">
        <v>17</v>
      </c>
      <c r="B37" s="9">
        <f>((B13*B8)+(B24*B19)+(B35*B30))/(B8+B19+B30)</f>
        <v>8.261285456214603</v>
      </c>
    </row>
    <row r="38" spans="1:2" ht="12.75">
      <c r="A38" s="3" t="s">
        <v>57</v>
      </c>
      <c r="B38" s="9">
        <f>B37/4</f>
        <v>2.0653213640536507</v>
      </c>
    </row>
    <row r="39" spans="1:7" ht="12.75">
      <c r="A39" s="3" t="str">
        <f>IF(B15=0,"Tip Distance to the mean chord","2nd Panel Tip Distance to mean chord")</f>
        <v>2nd Panel Tip Distance to mean chord</v>
      </c>
      <c r="B39" s="9">
        <f>IF(B15&gt;0,(B37-(B16*1/B23)*B23)/(2*B23),IF(B4=B5,B7/2,(B37-(B5*1/B12)*B12)/(2*B12)))</f>
        <v>20.61416971224151</v>
      </c>
      <c r="F39" s="5"/>
      <c r="G39" s="7"/>
    </row>
    <row r="40" spans="1:2" ht="12.75">
      <c r="A40" s="3" t="s">
        <v>58</v>
      </c>
      <c r="B40" s="9">
        <f>(B7+B18)-B39</f>
        <v>21.115830287758495</v>
      </c>
    </row>
    <row r="41" spans="1:7" ht="12.75">
      <c r="A41" s="3" t="s">
        <v>59</v>
      </c>
      <c r="B41" s="9">
        <f>IF(AND(B15=0,B4=B5),B38,IF(B15=0,((B7-B39)*B10)+B38,((B18-B39)*B21)+B38-(B15-B5)+B6))</f>
        <v>3.404035907839048</v>
      </c>
      <c r="F41" s="5"/>
      <c r="G41" s="7"/>
    </row>
    <row r="42" spans="1:7" ht="12.75">
      <c r="A42" s="3" t="s">
        <v>60</v>
      </c>
      <c r="B42" s="9">
        <f>B41-B38</f>
        <v>1.3387145437853971</v>
      </c>
      <c r="F42" s="5"/>
      <c r="G42" s="7"/>
    </row>
    <row r="43" ht="12.75">
      <c r="B43" s="8"/>
    </row>
    <row r="44" spans="1:17" ht="12.75">
      <c r="A44" s="1" t="s">
        <v>27</v>
      </c>
      <c r="B44" s="10"/>
      <c r="J44" s="1"/>
      <c r="K44" s="1"/>
      <c r="L44" s="1"/>
      <c r="O44" s="1"/>
      <c r="P44" s="1"/>
      <c r="Q44" s="1"/>
    </row>
    <row r="45" spans="1:17" ht="12.75">
      <c r="A45" s="1" t="s">
        <v>2</v>
      </c>
      <c r="B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3" t="s">
        <v>4</v>
      </c>
      <c r="B46" s="4">
        <v>6.72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3" t="s">
        <v>5</v>
      </c>
      <c r="B47" s="4">
        <v>3.2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3" t="s">
        <v>6</v>
      </c>
      <c r="B48" s="4">
        <v>2.8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3" t="s">
        <v>7</v>
      </c>
      <c r="B49" s="4">
        <v>12.5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2" ht="12.75">
      <c r="A50" s="5" t="s">
        <v>8</v>
      </c>
      <c r="B50" s="6">
        <f>(B46+B47)*(B49/2)</f>
        <v>62</v>
      </c>
    </row>
    <row r="51" spans="1:2" ht="12.75">
      <c r="A51" s="5" t="s">
        <v>9</v>
      </c>
      <c r="B51" s="6">
        <f>B46-B47-B48</f>
        <v>0.7199999999999998</v>
      </c>
    </row>
    <row r="52" spans="1:2" ht="12.75">
      <c r="A52" s="5" t="s">
        <v>10</v>
      </c>
      <c r="B52" s="6">
        <f>IF(B46=B47,1,(B46-(B47+B51))/B49)</f>
        <v>0.22399999999999998</v>
      </c>
    </row>
    <row r="53" spans="1:8" ht="12.75">
      <c r="A53" s="5" t="s">
        <v>11</v>
      </c>
      <c r="B53" s="6">
        <f>IF(B46=B47,1,(B46-(B47+B48))/B49)</f>
        <v>0.05759999999999998</v>
      </c>
      <c r="H53" s="7"/>
    </row>
    <row r="54" spans="1:2" ht="12.75">
      <c r="A54" s="5" t="s">
        <v>12</v>
      </c>
      <c r="B54" s="6">
        <f>(B52+B53)/2</f>
        <v>0.14079999999999998</v>
      </c>
    </row>
    <row r="55" spans="1:2" ht="12.75">
      <c r="A55" s="5" t="s">
        <v>13</v>
      </c>
      <c r="B55" s="6">
        <f>(2/3)*((B46^2+(B46*B47)+B47^2))/(B46+B47)</f>
        <v>5.1681720430107525</v>
      </c>
    </row>
    <row r="56" spans="1:6" ht="12.75">
      <c r="A56" s="1" t="s">
        <v>14</v>
      </c>
      <c r="B56" s="8"/>
      <c r="F56" s="12"/>
    </row>
    <row r="57" spans="1:8" ht="12.75">
      <c r="A57" s="3" t="s">
        <v>4</v>
      </c>
      <c r="B57" s="4">
        <v>0</v>
      </c>
      <c r="F57" s="12"/>
      <c r="H57" s="11"/>
    </row>
    <row r="58" spans="1:8" ht="12.75">
      <c r="A58" s="3" t="s">
        <v>5</v>
      </c>
      <c r="B58" s="4">
        <v>0</v>
      </c>
      <c r="F58" s="12"/>
      <c r="H58" s="11"/>
    </row>
    <row r="59" spans="1:6" ht="12.75">
      <c r="A59" s="3" t="s">
        <v>6</v>
      </c>
      <c r="B59" s="4">
        <v>0</v>
      </c>
      <c r="F59" s="12"/>
    </row>
    <row r="60" spans="1:6" ht="12.75">
      <c r="A60" s="3" t="s">
        <v>7</v>
      </c>
      <c r="B60" s="4">
        <v>0</v>
      </c>
      <c r="F60" s="12"/>
    </row>
    <row r="61" spans="1:9" ht="12.75">
      <c r="A61" s="5" t="s">
        <v>8</v>
      </c>
      <c r="B61" s="6">
        <f>(B57+B58)*(B60/2)</f>
        <v>0</v>
      </c>
      <c r="F61" s="12"/>
      <c r="H61" s="5"/>
      <c r="I61" s="7"/>
    </row>
    <row r="62" spans="1:9" ht="12.75">
      <c r="A62" s="5" t="s">
        <v>9</v>
      </c>
      <c r="B62" s="6">
        <f>B57-B58-B59</f>
        <v>0</v>
      </c>
      <c r="F62" s="12"/>
      <c r="H62" s="5"/>
      <c r="I62" s="7"/>
    </row>
    <row r="63" spans="1:8" ht="12.75">
      <c r="A63" s="5" t="s">
        <v>10</v>
      </c>
      <c r="B63" s="6">
        <f>IF(B57=0,0,IF(B57=B58,1,(B57-(B58+B62))/B60))</f>
        <v>0</v>
      </c>
      <c r="F63" s="12"/>
      <c r="H63" s="5"/>
    </row>
    <row r="64" spans="1:8" ht="12.75">
      <c r="A64" s="5" t="s">
        <v>11</v>
      </c>
      <c r="B64" s="6">
        <f>IF(B57=0,0,IF(B57=B58,1,(B57-(B58+B59))/B60))</f>
        <v>0</v>
      </c>
      <c r="F64" s="12"/>
      <c r="H64" s="5"/>
    </row>
    <row r="65" spans="1:6" ht="12.75">
      <c r="A65" s="5" t="s">
        <v>12</v>
      </c>
      <c r="B65" s="6">
        <f>(B63+B64)/2</f>
        <v>0</v>
      </c>
      <c r="F65" s="12"/>
    </row>
    <row r="66" spans="1:6" ht="12.75">
      <c r="A66" s="5" t="s">
        <v>13</v>
      </c>
      <c r="B66" s="6">
        <f>IF(B57=0,0,(2/3)*((B57^2+(B57*B58)+B58^2))/(B57+B58))</f>
        <v>0</v>
      </c>
      <c r="F66" s="12"/>
    </row>
    <row r="67" spans="1:6" ht="12.75">
      <c r="A67" s="1" t="s">
        <v>15</v>
      </c>
      <c r="B67" s="8"/>
      <c r="F67" s="12"/>
    </row>
    <row r="68" spans="1:6" ht="12.75">
      <c r="A68" s="3" t="s">
        <v>4</v>
      </c>
      <c r="B68" s="4">
        <v>0</v>
      </c>
      <c r="F68" s="12"/>
    </row>
    <row r="69" spans="1:6" ht="12.75">
      <c r="A69" s="3" t="s">
        <v>5</v>
      </c>
      <c r="B69" s="4">
        <v>0</v>
      </c>
      <c r="F69" s="12"/>
    </row>
    <row r="70" spans="1:6" ht="12.75">
      <c r="A70" s="3" t="s">
        <v>6</v>
      </c>
      <c r="B70" s="4">
        <v>0</v>
      </c>
      <c r="F70" s="12"/>
    </row>
    <row r="71" spans="1:6" ht="12.75">
      <c r="A71" s="3" t="s">
        <v>7</v>
      </c>
      <c r="B71" s="4">
        <v>0</v>
      </c>
      <c r="F71" s="12"/>
    </row>
    <row r="72" spans="1:6" ht="12.75">
      <c r="A72" s="5" t="s">
        <v>8</v>
      </c>
      <c r="B72" s="6">
        <f>(B68+B69)*(B71/2)</f>
        <v>0</v>
      </c>
      <c r="F72" s="12"/>
    </row>
    <row r="73" spans="1:6" ht="12.75">
      <c r="A73" s="5" t="s">
        <v>9</v>
      </c>
      <c r="B73" s="6">
        <f>B68-B69-B70</f>
        <v>0</v>
      </c>
      <c r="F73" s="12"/>
    </row>
    <row r="74" spans="1:6" ht="12.75">
      <c r="A74" s="5" t="s">
        <v>10</v>
      </c>
      <c r="B74" s="6">
        <f>IF(B68=0,0,IF(B68=B69,1,(B68-(B69+B73))/B71))</f>
        <v>0</v>
      </c>
      <c r="F74" s="12"/>
    </row>
    <row r="75" spans="1:6" ht="12.75">
      <c r="A75" s="5" t="s">
        <v>11</v>
      </c>
      <c r="B75" s="6">
        <f>IF(B68=0,0,IF(B68=B69,1,(B68-(B69+B70))/B71))</f>
        <v>0</v>
      </c>
      <c r="F75" s="12"/>
    </row>
    <row r="76" spans="1:6" ht="12.75">
      <c r="A76" s="5" t="s">
        <v>12</v>
      </c>
      <c r="B76" s="6">
        <f>(B74+B75)/2</f>
        <v>0</v>
      </c>
      <c r="F76" s="12"/>
    </row>
    <row r="77" spans="1:6" ht="12.75">
      <c r="A77" s="5" t="s">
        <v>13</v>
      </c>
      <c r="B77" s="6">
        <f>IF(B68=0,0,(2/3)*((B68^2+(B68*B69)+B69^2))/(B68+B69))</f>
        <v>0</v>
      </c>
      <c r="F77" s="12"/>
    </row>
    <row r="78" spans="1:6" ht="12.75">
      <c r="A78" s="1" t="s">
        <v>56</v>
      </c>
      <c r="B78" s="8"/>
      <c r="F78" s="12"/>
    </row>
    <row r="79" spans="1:6" ht="12.75">
      <c r="A79" s="3" t="s">
        <v>22</v>
      </c>
      <c r="B79" s="9">
        <f>((B55*B50)+(B66*B61)+(B77*B72))/(B50+B61+B72)</f>
        <v>5.1681720430107525</v>
      </c>
      <c r="F79" s="12"/>
    </row>
    <row r="80" spans="1:6" ht="12.75">
      <c r="A80" s="3" t="s">
        <v>23</v>
      </c>
      <c r="B80" s="9">
        <f>B79/4</f>
        <v>1.2920430107526881</v>
      </c>
      <c r="F80" s="12"/>
    </row>
    <row r="81" spans="1:6" ht="12.75">
      <c r="A81" s="3" t="str">
        <f>IF(B57=0,"Tip Distance to the MAC","2nd Panel Tip Distance to MAC")</f>
        <v>Tip Distance to the MAC</v>
      </c>
      <c r="B81" s="9">
        <f>IF(B57&gt;0,(B79-(B58*1/B65)*B65)/(2*B65),IF(B46=B47,B49/2,(B79-(B47*1/B54)*B54)/(2*B54)))</f>
        <v>6.989247311827957</v>
      </c>
      <c r="F81" s="12"/>
    </row>
    <row r="82" spans="1:6" ht="12.75">
      <c r="A82" s="3" t="s">
        <v>24</v>
      </c>
      <c r="B82" s="9">
        <f>(B49+B60)-B81</f>
        <v>5.510752688172043</v>
      </c>
      <c r="F82" s="12"/>
    </row>
    <row r="83" spans="1:17" ht="12.75">
      <c r="A83" s="3" t="s">
        <v>25</v>
      </c>
      <c r="B83" s="9">
        <f>IF(AND(B57=0,B46=B47),B80,IF(B57=0,((B49-B81)*B52)+B80,((B60-B81)*B63)+B80-(B57-B47)+B48))</f>
        <v>2.5264516129032257</v>
      </c>
      <c r="F83" s="12"/>
      <c r="J83" s="1"/>
      <c r="K83" s="1"/>
      <c r="L83" s="1"/>
      <c r="O83" s="1"/>
      <c r="P83" s="1"/>
      <c r="Q83" s="1"/>
    </row>
    <row r="84" spans="2:17" ht="12.75">
      <c r="B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5" t="s">
        <v>29</v>
      </c>
      <c r="B85" s="4">
        <v>28.75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6" ht="12.75">
      <c r="A86" s="5" t="s">
        <v>61</v>
      </c>
      <c r="B86" s="9">
        <f>B85-B41+B83</f>
        <v>27.872415705064178</v>
      </c>
      <c r="F86" s="12"/>
    </row>
    <row r="87" spans="1:6" ht="12.75">
      <c r="A87" s="1" t="s">
        <v>31</v>
      </c>
      <c r="F87" s="12"/>
    </row>
    <row r="88" spans="1:5" ht="12.75">
      <c r="A88" s="5" t="s">
        <v>32</v>
      </c>
      <c r="B88" s="9">
        <f>B8+B19+B30</f>
        <v>329.78175</v>
      </c>
      <c r="E88" s="5"/>
    </row>
    <row r="89" spans="1:5" ht="12.75">
      <c r="A89" s="5" t="s">
        <v>33</v>
      </c>
      <c r="B89" s="9">
        <f>B88*2</f>
        <v>659.5635</v>
      </c>
      <c r="E89" s="5"/>
    </row>
    <row r="90" spans="1:5" ht="12.75">
      <c r="A90" s="5" t="s">
        <v>34</v>
      </c>
      <c r="B90" s="9">
        <f>B50+B61+B72</f>
        <v>62</v>
      </c>
      <c r="E90" s="5"/>
    </row>
    <row r="91" spans="1:2" ht="12.75">
      <c r="A91" s="5" t="s">
        <v>35</v>
      </c>
      <c r="B91" s="9">
        <f>B90*2</f>
        <v>124</v>
      </c>
    </row>
    <row r="93" spans="1:2" ht="12.75">
      <c r="A93" s="5" t="s">
        <v>36</v>
      </c>
      <c r="B93" s="7">
        <f>((B7+B18+B29)*2)^2/B89</f>
        <v>10.56088094626219</v>
      </c>
    </row>
    <row r="94" spans="1:2" ht="12.75">
      <c r="A94" s="5" t="s">
        <v>37</v>
      </c>
      <c r="B94" s="7">
        <f>(B91/B89)*(B86/B37)</f>
        <v>0.6342961174914444</v>
      </c>
    </row>
    <row r="95" spans="1:2" ht="12.75">
      <c r="A95" s="5" t="s">
        <v>62</v>
      </c>
      <c r="B95" s="13">
        <f>0.25+(0.25*SQRT(SQRT(B93))*B94)</f>
        <v>0.5358624414037865</v>
      </c>
    </row>
    <row r="96" spans="1:2" ht="12.75">
      <c r="A96" s="5" t="s">
        <v>63</v>
      </c>
      <c r="B96" s="7">
        <f>B37*B95</f>
        <v>4.426912593700751</v>
      </c>
    </row>
    <row r="97" spans="1:2" ht="12.75">
      <c r="A97" s="5" t="s">
        <v>40</v>
      </c>
      <c r="B97" s="7">
        <f>B96-(B37/4)</f>
        <v>2.3615912296471007</v>
      </c>
    </row>
    <row r="98" spans="1:2" ht="12.75">
      <c r="A98" s="5" t="s">
        <v>64</v>
      </c>
      <c r="B98" s="13">
        <f>B97/B37</f>
        <v>0.2858624414037865</v>
      </c>
    </row>
    <row r="99" spans="1:2" ht="12.75">
      <c r="A99" s="5" t="s">
        <v>42</v>
      </c>
      <c r="B99" s="7">
        <f>B41+B97</f>
        <v>5.765627137486149</v>
      </c>
    </row>
    <row r="100" spans="1:2" ht="12.75">
      <c r="A100" s="5" t="s">
        <v>65</v>
      </c>
      <c r="B100" s="7">
        <f>B96-(B37*0.05)</f>
        <v>4.0138483208900215</v>
      </c>
    </row>
    <row r="101" spans="1:2" ht="12.75">
      <c r="A101" s="5" t="s">
        <v>44</v>
      </c>
      <c r="B101" s="7">
        <f>B99-(B96-B100)</f>
        <v>5.352562864675419</v>
      </c>
    </row>
    <row r="102" spans="1:2" ht="12.75">
      <c r="A102" s="5" t="s">
        <v>66</v>
      </c>
      <c r="B102" s="13">
        <f>B100/B37</f>
        <v>0.48586244140378654</v>
      </c>
    </row>
    <row r="103" spans="1:3" ht="12.75">
      <c r="A103" s="5" t="s">
        <v>67</v>
      </c>
      <c r="B103" s="16">
        <f>B96-(B37*0.15)</f>
        <v>3.187719775268561</v>
      </c>
      <c r="C103" s="7"/>
    </row>
    <row r="104" spans="1:2" ht="12.75">
      <c r="A104" s="5" t="s">
        <v>44</v>
      </c>
      <c r="B104" s="16">
        <f>B99-(B96-B103)</f>
        <v>4.526434319053958</v>
      </c>
    </row>
    <row r="105" spans="1:2" ht="12.75">
      <c r="A105" s="5" t="s">
        <v>68</v>
      </c>
      <c r="B105" s="17">
        <f>B103/B37</f>
        <v>0.3858624414037865</v>
      </c>
    </row>
    <row r="106" spans="1:3" ht="12.75">
      <c r="A106" s="3" t="s">
        <v>69</v>
      </c>
      <c r="B106" s="19">
        <f>B96-(B37*0.2)</f>
        <v>2.774655502457831</v>
      </c>
      <c r="C106" s="7"/>
    </row>
    <row r="107" spans="1:2" ht="12.75">
      <c r="A107" s="3" t="s">
        <v>44</v>
      </c>
      <c r="B107" s="19">
        <f>B99-(B96-B106)</f>
        <v>4.1133700462432286</v>
      </c>
    </row>
    <row r="108" spans="1:2" ht="12.75">
      <c r="A108" s="3" t="s">
        <v>70</v>
      </c>
      <c r="B108" s="20">
        <f>B106/B37</f>
        <v>0.3358624414037865</v>
      </c>
    </row>
    <row r="109" spans="1:2" ht="12.75">
      <c r="A109" s="5"/>
      <c r="B109" s="13"/>
    </row>
    <row r="110" ht="12.75">
      <c r="A110" s="5" t="s">
        <v>50</v>
      </c>
    </row>
    <row r="111" spans="1:2" ht="12.75">
      <c r="A111" s="5" t="s">
        <v>51</v>
      </c>
      <c r="B111" s="11">
        <f>(B37/4)+(((B86/3)*(B90/B88))-(B37/10))</f>
        <v>2.98589324855401</v>
      </c>
    </row>
    <row r="112" spans="1:3" ht="12.75">
      <c r="A112" s="5" t="s">
        <v>71</v>
      </c>
      <c r="B112" s="13">
        <f>B111/B37</f>
        <v>0.36143203916381483</v>
      </c>
      <c r="C112" s="7"/>
    </row>
    <row r="113" spans="1:2" ht="12.75">
      <c r="A113" s="5" t="s">
        <v>44</v>
      </c>
      <c r="B113" s="7">
        <f>B111+B42</f>
        <v>4.324607792339407</v>
      </c>
    </row>
    <row r="115" ht="12.75">
      <c r="A115" s="5" t="s">
        <v>53</v>
      </c>
    </row>
    <row r="116" spans="1:2" ht="12.75">
      <c r="A116" s="5" t="s">
        <v>51</v>
      </c>
      <c r="B116" s="11">
        <f>(B37/6)+((3*B86*B91)/(8*B89))</f>
        <v>3.341918893256147</v>
      </c>
    </row>
    <row r="117" spans="1:3" ht="12.75">
      <c r="A117" s="5" t="s">
        <v>71</v>
      </c>
      <c r="B117" s="13">
        <f>B116/B37</f>
        <v>0.4045277107259583</v>
      </c>
      <c r="C117" s="7">
        <f>(B96-B116)/B37</f>
        <v>0.13133473067782825</v>
      </c>
    </row>
    <row r="118" spans="1:2" ht="12.75">
      <c r="A118" s="5" t="s">
        <v>44</v>
      </c>
      <c r="B118" s="7">
        <f>B116+B42</f>
        <v>4.6806334370415446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8"/>
  <sheetViews>
    <sheetView zoomScale="130" zoomScaleNormal="130" workbookViewId="0" topLeftCell="A1">
      <selection activeCell="A1" sqref="A1"/>
    </sheetView>
  </sheetViews>
  <sheetFormatPr defaultColWidth="12.57421875" defaultRowHeight="12.75"/>
  <cols>
    <col min="1" max="1" width="51.57421875" style="0" customWidth="1"/>
    <col min="2" max="3" width="11.57421875" style="0" customWidth="1"/>
    <col min="4" max="4" width="17.00390625" style="0" customWidth="1"/>
    <col min="5" max="5" width="11.28125" style="0" customWidth="1"/>
    <col min="6" max="6" width="11.7109375" style="0" customWidth="1"/>
    <col min="7" max="7" width="12.140625" style="0" customWidth="1"/>
    <col min="8" max="8" width="12.57421875" style="0" customWidth="1"/>
    <col min="9" max="9" width="12.28125" style="0" customWidth="1"/>
    <col min="10" max="11" width="13.00390625" style="0" customWidth="1"/>
    <col min="12" max="12" width="15.28125" style="0" customWidth="1"/>
    <col min="13" max="13" width="13.28125" style="0" customWidth="1"/>
    <col min="14" max="14" width="13.7109375" style="0" customWidth="1"/>
    <col min="15" max="15" width="12.8515625" style="0" customWidth="1"/>
    <col min="16" max="16" width="13.421875" style="0" customWidth="1"/>
    <col min="17" max="16384" width="11.57421875" style="0" customWidth="1"/>
  </cols>
  <sheetData>
    <row r="1" spans="1:26" s="2" customFormat="1" ht="12.75">
      <c r="A1" s="1" t="s">
        <v>0</v>
      </c>
      <c r="D1" s="1"/>
      <c r="Z1"/>
    </row>
    <row r="2" spans="1:26" s="2" customFormat="1" ht="12.75">
      <c r="A2" s="1" t="s">
        <v>1</v>
      </c>
      <c r="D2" s="1"/>
      <c r="F2" s="1" t="s">
        <v>72</v>
      </c>
      <c r="G2" s="1" t="s">
        <v>73</v>
      </c>
      <c r="I2" s="1" t="s">
        <v>74</v>
      </c>
      <c r="J2" s="1" t="s">
        <v>75</v>
      </c>
      <c r="K2" s="1" t="s">
        <v>73</v>
      </c>
      <c r="L2" s="1" t="s">
        <v>76</v>
      </c>
      <c r="M2" s="1" t="s">
        <v>77</v>
      </c>
      <c r="O2" s="1"/>
      <c r="R2"/>
      <c r="S2"/>
      <c r="V2"/>
      <c r="Z2"/>
    </row>
    <row r="3" spans="1:26" s="2" customFormat="1" ht="12.75">
      <c r="A3" s="1" t="s">
        <v>2</v>
      </c>
      <c r="B3" s="1" t="s">
        <v>3</v>
      </c>
      <c r="D3" s="1" t="s">
        <v>78</v>
      </c>
      <c r="E3" s="1" t="s">
        <v>3</v>
      </c>
      <c r="F3" s="1" t="s">
        <v>3</v>
      </c>
      <c r="G3" s="1" t="s">
        <v>3</v>
      </c>
      <c r="H3" s="1" t="s">
        <v>79</v>
      </c>
      <c r="I3" s="1" t="s">
        <v>80</v>
      </c>
      <c r="J3" s="1" t="s">
        <v>81</v>
      </c>
      <c r="K3" s="1" t="s">
        <v>81</v>
      </c>
      <c r="L3" s="1" t="s">
        <v>81</v>
      </c>
      <c r="M3" s="1" t="s">
        <v>82</v>
      </c>
      <c r="N3" s="1" t="s">
        <v>73</v>
      </c>
      <c r="O3" s="1" t="s">
        <v>83</v>
      </c>
      <c r="P3" s="1" t="s">
        <v>84</v>
      </c>
      <c r="Q3" s="1" t="s">
        <v>85</v>
      </c>
      <c r="R3" s="1" t="s">
        <v>86</v>
      </c>
      <c r="S3" s="1" t="s">
        <v>87</v>
      </c>
      <c r="T3"/>
      <c r="U3"/>
      <c r="V3"/>
      <c r="W3"/>
      <c r="X3"/>
      <c r="Y3"/>
      <c r="Z3"/>
    </row>
    <row r="4" spans="1:19" ht="12.75">
      <c r="A4" s="3" t="s">
        <v>4</v>
      </c>
      <c r="B4" s="4">
        <v>9.6</v>
      </c>
      <c r="D4" s="4">
        <v>15.15437</v>
      </c>
      <c r="E4" s="4">
        <v>9.6</v>
      </c>
      <c r="F4" s="4">
        <v>9.59933</v>
      </c>
      <c r="G4" s="4">
        <v>3</v>
      </c>
      <c r="H4" s="4">
        <v>13.5</v>
      </c>
      <c r="I4" s="4">
        <v>11.74349</v>
      </c>
      <c r="J4" s="4">
        <v>11.96969</v>
      </c>
      <c r="K4" s="4">
        <v>2.87499</v>
      </c>
      <c r="L4" s="4">
        <v>5.74999</v>
      </c>
      <c r="M4" s="4">
        <v>12.95263</v>
      </c>
      <c r="N4" s="4">
        <v>3.1875</v>
      </c>
      <c r="O4" s="4">
        <v>7.76509</v>
      </c>
      <c r="P4" s="4">
        <v>12.1836</v>
      </c>
      <c r="Q4" s="4">
        <v>11.62245</v>
      </c>
      <c r="R4" s="4">
        <v>9.00028</v>
      </c>
      <c r="S4" s="4">
        <v>3.12178</v>
      </c>
    </row>
    <row r="5" spans="1:19" ht="12.75">
      <c r="A5" s="3" t="s">
        <v>5</v>
      </c>
      <c r="B5" s="4">
        <v>9.6</v>
      </c>
      <c r="D5" s="4">
        <v>7.8135</v>
      </c>
      <c r="E5" s="4">
        <v>9.6</v>
      </c>
      <c r="F5" s="4">
        <v>9.59933</v>
      </c>
      <c r="G5" s="4">
        <v>3</v>
      </c>
      <c r="H5" s="4">
        <v>13.5</v>
      </c>
      <c r="I5" s="4">
        <v>2.34801</v>
      </c>
      <c r="J5" s="4">
        <v>7.6407</v>
      </c>
      <c r="K5" s="4">
        <v>1.82508</v>
      </c>
      <c r="L5" s="4">
        <v>3.65016</v>
      </c>
      <c r="M5" s="4">
        <v>6.71875</v>
      </c>
      <c r="N5" s="4">
        <v>2.69239</v>
      </c>
      <c r="O5" s="4">
        <v>7.21309</v>
      </c>
      <c r="P5" s="4">
        <v>13.44731</v>
      </c>
      <c r="Q5" s="4">
        <v>10.93981</v>
      </c>
      <c r="R5" s="4">
        <v>9.00028</v>
      </c>
      <c r="S5" s="4">
        <v>3.12178</v>
      </c>
    </row>
    <row r="6" spans="1:19" ht="12.75">
      <c r="A6" s="3" t="s">
        <v>6</v>
      </c>
      <c r="B6" s="4">
        <v>0</v>
      </c>
      <c r="D6" s="4">
        <v>2.71681</v>
      </c>
      <c r="E6" s="4">
        <v>0</v>
      </c>
      <c r="F6" s="4">
        <v>0</v>
      </c>
      <c r="G6" s="4">
        <v>0</v>
      </c>
      <c r="H6" s="4">
        <v>0</v>
      </c>
      <c r="I6" s="4">
        <v>-8.14134</v>
      </c>
      <c r="J6" s="4">
        <v>4.32899</v>
      </c>
      <c r="K6" s="4">
        <v>1.04992</v>
      </c>
      <c r="L6" s="4">
        <v>2.09983</v>
      </c>
      <c r="M6" s="4">
        <v>1.61446</v>
      </c>
      <c r="N6" s="4">
        <v>1.5830600000000001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12.75">
      <c r="A7" s="3" t="s">
        <v>7</v>
      </c>
      <c r="B7" s="4">
        <v>13.68</v>
      </c>
      <c r="D7" s="4">
        <v>29.45599</v>
      </c>
      <c r="E7" s="4">
        <v>13.68</v>
      </c>
      <c r="F7" s="4">
        <v>12.72375</v>
      </c>
      <c r="G7" s="4">
        <v>3.976505</v>
      </c>
      <c r="H7" s="4">
        <v>25</v>
      </c>
      <c r="I7" s="4">
        <v>17.99999</v>
      </c>
      <c r="J7" s="4">
        <v>4.04642</v>
      </c>
      <c r="K7" s="4">
        <v>0.97191</v>
      </c>
      <c r="L7" s="4">
        <v>1.94381</v>
      </c>
      <c r="M7" s="4">
        <v>26.25</v>
      </c>
      <c r="N7" s="4">
        <v>3.95945</v>
      </c>
      <c r="O7" s="4">
        <v>19.40365</v>
      </c>
      <c r="P7" s="4">
        <v>9.00466</v>
      </c>
      <c r="Q7" s="4">
        <v>10.50667</v>
      </c>
      <c r="R7" s="4">
        <v>15.01867</v>
      </c>
      <c r="S7" s="4">
        <v>3.14311</v>
      </c>
    </row>
    <row r="8" spans="1:2" ht="12.75">
      <c r="A8" s="5" t="s">
        <v>8</v>
      </c>
      <c r="B8" s="6">
        <f>(B4+B5)*(B7/2)</f>
        <v>131.328</v>
      </c>
    </row>
    <row r="9" spans="1:8" ht="12.75">
      <c r="A9" s="5" t="s">
        <v>9</v>
      </c>
      <c r="B9" s="6">
        <f>B4-B5-B6</f>
        <v>0</v>
      </c>
      <c r="H9" s="7"/>
    </row>
    <row r="10" spans="1:8" ht="12.75">
      <c r="A10" s="5" t="s">
        <v>10</v>
      </c>
      <c r="B10" s="6">
        <f>IF(B4=B5,1,(B4-(B5+B9))/B7)</f>
        <v>1</v>
      </c>
      <c r="H10" s="7"/>
    </row>
    <row r="11" spans="1:8" ht="12.75">
      <c r="A11" s="5" t="s">
        <v>11</v>
      </c>
      <c r="B11" s="6">
        <f>IF(B4=B5,1,(B4-(B5+B6))/B7)</f>
        <v>1</v>
      </c>
      <c r="H11" s="7"/>
    </row>
    <row r="12" spans="1:8" ht="12.75">
      <c r="A12" s="5" t="s">
        <v>12</v>
      </c>
      <c r="B12" s="6">
        <f>(B10+B11)/2</f>
        <v>1</v>
      </c>
      <c r="H12" s="7"/>
    </row>
    <row r="13" spans="1:12" ht="12.75">
      <c r="A13" s="5" t="s">
        <v>13</v>
      </c>
      <c r="B13" s="6">
        <f>(2/3)*((B4^2+(B4*B5)+B5^2))/(B4+B5)</f>
        <v>9.6</v>
      </c>
      <c r="F13" s="1" t="s">
        <v>72</v>
      </c>
      <c r="G13" s="1" t="s">
        <v>73</v>
      </c>
      <c r="H13" s="7"/>
      <c r="J13" s="1" t="s">
        <v>75</v>
      </c>
      <c r="K13" s="1" t="s">
        <v>73</v>
      </c>
      <c r="L13" s="1" t="s">
        <v>76</v>
      </c>
    </row>
    <row r="14" spans="1:19" ht="12.75">
      <c r="A14" s="1" t="s">
        <v>14</v>
      </c>
      <c r="B14" s="8"/>
      <c r="E14" s="1" t="s">
        <v>3</v>
      </c>
      <c r="F14" s="1" t="s">
        <v>3</v>
      </c>
      <c r="G14" s="1" t="s">
        <v>3</v>
      </c>
      <c r="H14" s="7"/>
      <c r="J14" s="1" t="s">
        <v>81</v>
      </c>
      <c r="K14" s="1" t="s">
        <v>81</v>
      </c>
      <c r="L14" s="1" t="s">
        <v>81</v>
      </c>
      <c r="N14" s="1" t="s">
        <v>73</v>
      </c>
      <c r="O14" s="1"/>
      <c r="P14" s="1" t="s">
        <v>84</v>
      </c>
      <c r="Q14" s="1" t="s">
        <v>85</v>
      </c>
      <c r="R14" s="1" t="s">
        <v>86</v>
      </c>
      <c r="S14" s="1" t="s">
        <v>87</v>
      </c>
    </row>
    <row r="15" spans="1:19" ht="12.75">
      <c r="A15" s="3" t="s">
        <v>4</v>
      </c>
      <c r="B15" s="4">
        <v>9.6</v>
      </c>
      <c r="E15" s="4">
        <v>9.6</v>
      </c>
      <c r="F15" s="4">
        <v>9.59933</v>
      </c>
      <c r="G15" s="4">
        <v>3</v>
      </c>
      <c r="J15" s="4">
        <v>7.6407</v>
      </c>
      <c r="K15" s="4">
        <v>1.82508</v>
      </c>
      <c r="L15" s="4">
        <v>3.65016</v>
      </c>
      <c r="N15" s="4">
        <v>2.69239</v>
      </c>
      <c r="P15" s="4">
        <v>13.53809</v>
      </c>
      <c r="Q15" s="4">
        <v>10.08648</v>
      </c>
      <c r="R15" s="4">
        <v>9.00028</v>
      </c>
      <c r="S15" s="4">
        <v>3.12178</v>
      </c>
    </row>
    <row r="16" spans="1:19" ht="12.75">
      <c r="A16" s="3" t="s">
        <v>5</v>
      </c>
      <c r="B16" s="4">
        <v>4.55</v>
      </c>
      <c r="D16" s="5"/>
      <c r="E16" s="4">
        <v>4.55</v>
      </c>
      <c r="F16" s="4">
        <v>4.63123</v>
      </c>
      <c r="G16" s="4">
        <v>1.44682</v>
      </c>
      <c r="J16" s="4">
        <v>6.65887</v>
      </c>
      <c r="K16" s="4">
        <v>1.59939</v>
      </c>
      <c r="L16" s="4">
        <v>3.19878</v>
      </c>
      <c r="N16" s="4">
        <v>1.45595</v>
      </c>
      <c r="P16" s="4">
        <v>6.11886</v>
      </c>
      <c r="Q16" s="4">
        <v>8.90667</v>
      </c>
      <c r="R16" s="4">
        <v>5.09724</v>
      </c>
      <c r="S16" s="4">
        <v>1.14489</v>
      </c>
    </row>
    <row r="17" spans="1:19" ht="12.75">
      <c r="A17" s="3" t="s">
        <v>6</v>
      </c>
      <c r="B17" s="4">
        <v>5.05</v>
      </c>
      <c r="D17" s="5"/>
      <c r="E17" s="4">
        <v>5.05</v>
      </c>
      <c r="F17" s="4">
        <v>4.9681</v>
      </c>
      <c r="G17" s="4">
        <v>1.55598</v>
      </c>
      <c r="J17" s="4">
        <v>4.4134</v>
      </c>
      <c r="K17" s="4">
        <v>1.04992</v>
      </c>
      <c r="L17" s="4">
        <v>2.09983</v>
      </c>
      <c r="N17" s="4">
        <v>1.5564300000000002</v>
      </c>
      <c r="P17" s="4">
        <v>5.76136</v>
      </c>
      <c r="Q17" s="4">
        <v>0.7466700000000001</v>
      </c>
      <c r="R17" s="4">
        <v>1.36897</v>
      </c>
      <c r="S17" s="4">
        <v>1.97689</v>
      </c>
    </row>
    <row r="18" spans="1:19" ht="12.75">
      <c r="A18" s="3" t="s">
        <v>7</v>
      </c>
      <c r="B18" s="4">
        <v>28.05</v>
      </c>
      <c r="D18" s="5"/>
      <c r="E18" s="4">
        <v>28.05</v>
      </c>
      <c r="F18" s="4">
        <v>26.88451</v>
      </c>
      <c r="G18" s="4">
        <v>8.40141</v>
      </c>
      <c r="J18" s="4">
        <v>4.12532</v>
      </c>
      <c r="K18" s="4">
        <v>0.9908600000000001</v>
      </c>
      <c r="L18" s="4">
        <v>1.9817200000000001</v>
      </c>
      <c r="N18" s="4">
        <v>2.84336</v>
      </c>
      <c r="P18" s="4">
        <v>22.32335</v>
      </c>
      <c r="Q18" s="4">
        <v>6.66667</v>
      </c>
      <c r="R18" s="4">
        <v>8.5852</v>
      </c>
      <c r="S18" s="4">
        <v>5.53244</v>
      </c>
    </row>
    <row r="19" spans="1:5" ht="12.75">
      <c r="A19" s="5" t="s">
        <v>8</v>
      </c>
      <c r="B19" s="6">
        <f>(B15+B16)*(B18/2)</f>
        <v>198.45374999999999</v>
      </c>
      <c r="D19" s="5"/>
      <c r="E19" s="5"/>
    </row>
    <row r="20" spans="1:5" ht="12.75">
      <c r="A20" s="5" t="s">
        <v>9</v>
      </c>
      <c r="B20" s="6">
        <f>B15-B16-B17</f>
        <v>0</v>
      </c>
      <c r="D20" s="5"/>
      <c r="E20" s="5"/>
    </row>
    <row r="21" spans="1:5" ht="12.75">
      <c r="A21" s="5" t="s">
        <v>10</v>
      </c>
      <c r="B21" s="6">
        <f>IF(B15=0,0,IF(B15=B16,1,(B15-(B16+B20))/B18))</f>
        <v>0.1800356506238859</v>
      </c>
      <c r="D21" s="5"/>
      <c r="E21" s="5"/>
    </row>
    <row r="22" spans="1:5" ht="12.75">
      <c r="A22" s="5" t="s">
        <v>11</v>
      </c>
      <c r="B22" s="6">
        <f>IF(B15=0,0,IF(B15=B16,1,(B15-(B16+B17))/B18))</f>
        <v>0</v>
      </c>
      <c r="D22" s="5"/>
      <c r="E22" s="5"/>
    </row>
    <row r="23" spans="1:5" ht="12.75">
      <c r="A23" s="5" t="s">
        <v>12</v>
      </c>
      <c r="B23" s="6">
        <f>(B21+B22)/2</f>
        <v>0.09001782531194295</v>
      </c>
      <c r="D23" s="5"/>
      <c r="E23" s="5"/>
    </row>
    <row r="24" spans="1:12" ht="12.75">
      <c r="A24" s="5" t="s">
        <v>13</v>
      </c>
      <c r="B24" s="6">
        <f>IF(B15=0,0,(2/3)*((B15^2+(B15*B16)+B16^2))/(B15+B16))</f>
        <v>7.375382803297997</v>
      </c>
      <c r="D24" s="5"/>
      <c r="E24" s="5"/>
      <c r="J24" s="1" t="s">
        <v>75</v>
      </c>
      <c r="K24" s="1" t="s">
        <v>73</v>
      </c>
      <c r="L24" s="1" t="s">
        <v>76</v>
      </c>
    </row>
    <row r="25" spans="1:17" ht="12.75">
      <c r="A25" s="1" t="s">
        <v>15</v>
      </c>
      <c r="B25" s="8"/>
      <c r="D25" s="5"/>
      <c r="E25" s="5"/>
      <c r="J25" s="1" t="s">
        <v>81</v>
      </c>
      <c r="K25" s="1" t="s">
        <v>81</v>
      </c>
      <c r="L25" s="1" t="s">
        <v>81</v>
      </c>
      <c r="N25" s="1" t="s">
        <v>73</v>
      </c>
      <c r="Q25" s="1" t="s">
        <v>85</v>
      </c>
    </row>
    <row r="26" spans="1:17" ht="12.75">
      <c r="A26" s="3" t="s">
        <v>4</v>
      </c>
      <c r="B26" s="4">
        <v>0</v>
      </c>
      <c r="E26" s="5"/>
      <c r="H26" s="7"/>
      <c r="J26" s="4">
        <v>6.65887</v>
      </c>
      <c r="K26" s="4">
        <v>1.59939</v>
      </c>
      <c r="L26" s="4">
        <v>3.19878</v>
      </c>
      <c r="N26" s="4">
        <v>1.45595</v>
      </c>
      <c r="Q26" s="4">
        <v>8.90667</v>
      </c>
    </row>
    <row r="27" spans="1:17" ht="12.75">
      <c r="A27" s="3" t="s">
        <v>5</v>
      </c>
      <c r="B27" s="4">
        <v>0</v>
      </c>
      <c r="J27" s="4">
        <v>6.10366</v>
      </c>
      <c r="K27" s="4">
        <v>1.46603</v>
      </c>
      <c r="L27" s="4">
        <v>2.93207</v>
      </c>
      <c r="N27" s="4">
        <v>0.5884</v>
      </c>
      <c r="Q27" s="4">
        <v>3.51443</v>
      </c>
    </row>
    <row r="28" spans="1:17" ht="12.75">
      <c r="A28" s="3" t="s">
        <v>6</v>
      </c>
      <c r="B28" s="4">
        <v>0</v>
      </c>
      <c r="J28" s="4">
        <v>5.40389</v>
      </c>
      <c r="K28" s="4">
        <v>1.29796</v>
      </c>
      <c r="L28" s="4">
        <v>2.59591</v>
      </c>
      <c r="N28" s="4">
        <v>0.68962</v>
      </c>
      <c r="Q28" s="4">
        <v>2.58995</v>
      </c>
    </row>
    <row r="29" spans="1:17" ht="12.75">
      <c r="A29" s="3" t="s">
        <v>7</v>
      </c>
      <c r="B29" s="4">
        <v>0</v>
      </c>
      <c r="J29" s="4">
        <v>5.8289100000000005</v>
      </c>
      <c r="K29" s="4">
        <v>1.40004</v>
      </c>
      <c r="L29" s="4">
        <v>2.80009</v>
      </c>
      <c r="N29" s="4">
        <v>0.5280100000000001</v>
      </c>
      <c r="Q29" s="4">
        <v>12.92521</v>
      </c>
    </row>
    <row r="30" spans="1:2" ht="12.75">
      <c r="A30" s="5" t="s">
        <v>8</v>
      </c>
      <c r="B30" s="6">
        <f>(B26+B27)*(B29/2)</f>
        <v>0</v>
      </c>
    </row>
    <row r="31" spans="1:2" ht="12.75">
      <c r="A31" s="5" t="s">
        <v>9</v>
      </c>
      <c r="B31" s="6">
        <f>B26-B27-B28</f>
        <v>0</v>
      </c>
    </row>
    <row r="32" spans="1:2" ht="12.75">
      <c r="A32" s="5" t="s">
        <v>10</v>
      </c>
      <c r="B32" s="6">
        <f>IF(B26=0,0,IF(B26=B27,1,(B26-(B27+B31))/B29))</f>
        <v>0</v>
      </c>
    </row>
    <row r="33" spans="1:5" ht="12.75">
      <c r="A33" s="5" t="s">
        <v>11</v>
      </c>
      <c r="B33" s="6">
        <f>IF(B26=0,0,IF(B26=B27,1,(B26-(B27+B28))/B29))</f>
        <v>0</v>
      </c>
      <c r="D33" s="7"/>
      <c r="E33" s="7"/>
    </row>
    <row r="34" spans="1:2" ht="12.75">
      <c r="A34" s="5" t="s">
        <v>12</v>
      </c>
      <c r="B34" s="6">
        <f>(B32+B33)/2</f>
        <v>0</v>
      </c>
    </row>
    <row r="35" spans="1:2" ht="12.75">
      <c r="A35" s="5" t="s">
        <v>13</v>
      </c>
      <c r="B35" s="6">
        <f>IF(B26=0,0,(2/3)*((B26^2+(B26*B27)+B27^2))/(B26+B27))</f>
        <v>0</v>
      </c>
    </row>
    <row r="36" spans="1:2" ht="12.75">
      <c r="A36" s="1" t="s">
        <v>16</v>
      </c>
      <c r="B36" s="8"/>
    </row>
    <row r="37" spans="1:2" ht="12.75">
      <c r="A37" s="3" t="s">
        <v>17</v>
      </c>
      <c r="B37" s="9">
        <f>((B13*B8)+(B24*B19)+(B35*B30))/(B8+B19+B30)</f>
        <v>8.261285456214603</v>
      </c>
    </row>
    <row r="38" spans="1:2" ht="12.75">
      <c r="A38" s="3" t="s">
        <v>18</v>
      </c>
      <c r="B38" s="9">
        <f>B37/4</f>
        <v>2.0653213640536507</v>
      </c>
    </row>
    <row r="39" spans="1:16" ht="12.75">
      <c r="A39" s="3" t="str">
        <f>IF(B15=0,"Tip Distance to the Mean Chord","2nd Panel Tip Distance to Mean Chord")</f>
        <v>2nd Panel Tip Distance to Mean Chord</v>
      </c>
      <c r="B39" s="9">
        <f>IF(B15&gt;0,(B37-(B16*1/B23)*B23)/(2*B23),IF(B4=B5,B7/2,(B37-(B5*1/B12)*B12)/(2*B12)))</f>
        <v>20.61416971224151</v>
      </c>
      <c r="O39" s="5"/>
      <c r="P39" s="7"/>
    </row>
    <row r="40" spans="1:2" ht="12.75">
      <c r="A40" s="3" t="s">
        <v>19</v>
      </c>
      <c r="B40" s="9">
        <f>(B7+B18)-B39</f>
        <v>21.115830287758495</v>
      </c>
    </row>
    <row r="41" spans="1:16" ht="12.75">
      <c r="A41" s="3" t="s">
        <v>20</v>
      </c>
      <c r="B41" s="9">
        <f>IF(AND(B15=0,B4=B5),B38,IF(B15=0,((B7-B39)*B10)+B38,((B18-B39)*B21)+B38-(B15-B5)+B6))</f>
        <v>3.404035907839048</v>
      </c>
      <c r="O41" s="5"/>
      <c r="P41" s="7"/>
    </row>
    <row r="42" spans="1:16" ht="12.75">
      <c r="A42" s="3" t="s">
        <v>21</v>
      </c>
      <c r="O42" s="5"/>
      <c r="P42" s="7"/>
    </row>
    <row r="43" spans="1:16" ht="12.75">
      <c r="A43" s="3" t="s">
        <v>22</v>
      </c>
      <c r="B43" s="9">
        <f>IF(B6+B17+B28&gt;B4,(B37*0.75/0.839),IF(B6&lt;0,(B37*0.75/0.839),IF((B37-(B37*0.193))/0.75&gt;B4,B4,(B37-(B37*0.193))/0.75)))</f>
        <v>8.889143150886913</v>
      </c>
      <c r="C43" s="5"/>
      <c r="D43" s="5"/>
      <c r="O43" s="5"/>
      <c r="P43" s="7"/>
    </row>
    <row r="44" spans="1:16" ht="12.75">
      <c r="A44" s="3" t="s">
        <v>23</v>
      </c>
      <c r="B44" s="9">
        <f>IF((B37-(B37*0.193))/0.75&gt;B4,B4*0.193,B43/4)</f>
        <v>2.222285787721728</v>
      </c>
      <c r="O44" s="5"/>
      <c r="P44" s="7"/>
    </row>
    <row r="45" spans="1:16" ht="12.75">
      <c r="A45" s="3" t="str">
        <f>IF(B21=0,"Tip Distance to the MAC","2nd Panel Tip Distance to MAC")</f>
        <v>2nd Panel Tip Distance to MAC</v>
      </c>
      <c r="B45" s="9">
        <f>IF(B15&gt;0,(B43-(B16*1/B23)*B23)/(2*B23),IF(B4=B5,B7/2,(B43-(B5*1/B12)*B12)/(2*B12)))</f>
        <v>24.10157730344117</v>
      </c>
      <c r="O45" s="5"/>
      <c r="P45" s="7"/>
    </row>
    <row r="46" spans="1:16" ht="12.75">
      <c r="A46" s="3" t="s">
        <v>24</v>
      </c>
      <c r="B46" s="9">
        <f>(B7+B18)-B45</f>
        <v>17.628422696558832</v>
      </c>
      <c r="O46" s="5"/>
      <c r="P46" s="7"/>
    </row>
    <row r="47" spans="1:16" ht="12.75">
      <c r="A47" s="3" t="s">
        <v>25</v>
      </c>
      <c r="B47" s="9">
        <f>IF(AND(B15=0,B4=B5),B44,IF(B15=0,((B7-B45)*B10)+B44,((B18-B45)*B21)+B44-(B15-B5)+B6))</f>
        <v>2.9331426368348152</v>
      </c>
      <c r="C47" s="7"/>
      <c r="D47" s="7"/>
      <c r="O47" s="5"/>
      <c r="P47" s="7"/>
    </row>
    <row r="48" spans="1:16" ht="12.75">
      <c r="A48" s="3" t="s">
        <v>26</v>
      </c>
      <c r="B48" s="9">
        <f>B47-B44</f>
        <v>0.7108568491130871</v>
      </c>
      <c r="O48" s="5"/>
      <c r="P48" s="7"/>
    </row>
    <row r="49" ht="12.75">
      <c r="B49" s="8"/>
    </row>
    <row r="50" spans="1:18" ht="12.75">
      <c r="A50" s="1" t="s">
        <v>27</v>
      </c>
      <c r="B50" s="10"/>
      <c r="E50" s="2"/>
      <c r="F50" s="1" t="s">
        <v>72</v>
      </c>
      <c r="G50" s="1" t="s">
        <v>73</v>
      </c>
      <c r="H50" s="2"/>
      <c r="I50" s="1" t="s">
        <v>74</v>
      </c>
      <c r="J50" s="1" t="s">
        <v>75</v>
      </c>
      <c r="K50" s="1" t="s">
        <v>73</v>
      </c>
      <c r="L50" s="1" t="s">
        <v>76</v>
      </c>
      <c r="M50" s="1" t="s">
        <v>77</v>
      </c>
      <c r="P50" s="2"/>
      <c r="Q50" s="2"/>
      <c r="R50" s="2"/>
    </row>
    <row r="51" spans="1:18" ht="12.75">
      <c r="A51" s="1" t="s">
        <v>2</v>
      </c>
      <c r="B51" s="10"/>
      <c r="D51" s="1" t="s">
        <v>78</v>
      </c>
      <c r="E51" s="1" t="s">
        <v>3</v>
      </c>
      <c r="F51" s="1" t="s">
        <v>3</v>
      </c>
      <c r="G51" s="1" t="s">
        <v>3</v>
      </c>
      <c r="H51" s="1" t="s">
        <v>79</v>
      </c>
      <c r="I51" s="1" t="s">
        <v>80</v>
      </c>
      <c r="J51" s="1" t="s">
        <v>81</v>
      </c>
      <c r="K51" s="1" t="s">
        <v>81</v>
      </c>
      <c r="L51" s="1" t="s">
        <v>81</v>
      </c>
      <c r="M51" s="1" t="s">
        <v>82</v>
      </c>
      <c r="N51" s="1" t="s">
        <v>73</v>
      </c>
      <c r="O51" s="1" t="s">
        <v>83</v>
      </c>
      <c r="P51" s="1" t="s">
        <v>84</v>
      </c>
      <c r="Q51" s="1" t="s">
        <v>85</v>
      </c>
      <c r="R51" s="1" t="s">
        <v>86</v>
      </c>
    </row>
    <row r="52" spans="1:18" ht="12.75">
      <c r="A52" s="3" t="s">
        <v>4</v>
      </c>
      <c r="B52" s="4">
        <v>6.72</v>
      </c>
      <c r="D52" s="4">
        <v>8.22495</v>
      </c>
      <c r="E52" s="4">
        <v>6.72</v>
      </c>
      <c r="F52" s="4">
        <v>6.45372</v>
      </c>
      <c r="G52" s="4">
        <v>2.01679</v>
      </c>
      <c r="H52" s="4">
        <v>6.813</v>
      </c>
      <c r="I52" s="4">
        <v>4.39376</v>
      </c>
      <c r="J52" s="4">
        <v>4.18104</v>
      </c>
      <c r="K52" s="4">
        <v>1.00424</v>
      </c>
      <c r="L52" s="4">
        <v>2.00848</v>
      </c>
      <c r="M52" s="4">
        <v>7.0544</v>
      </c>
      <c r="N52" s="4">
        <v>2.5005</v>
      </c>
      <c r="O52" s="4">
        <v>5.07983</v>
      </c>
      <c r="P52" s="4">
        <v>7.9045000000000005</v>
      </c>
      <c r="Q52" s="4">
        <v>6.02031</v>
      </c>
      <c r="R52" s="4">
        <v>5.39575</v>
      </c>
    </row>
    <row r="53" spans="1:18" ht="12.75">
      <c r="A53" s="3" t="s">
        <v>5</v>
      </c>
      <c r="B53" s="4">
        <v>3.2</v>
      </c>
      <c r="D53" s="4">
        <v>4.12445</v>
      </c>
      <c r="E53" s="4">
        <v>3.2</v>
      </c>
      <c r="F53" s="4">
        <v>3.00481</v>
      </c>
      <c r="G53" s="4">
        <v>0.9390000000000001</v>
      </c>
      <c r="H53" s="4">
        <v>3.407</v>
      </c>
      <c r="I53" s="4">
        <v>2.3154</v>
      </c>
      <c r="J53" s="4">
        <v>1.79752</v>
      </c>
      <c r="K53" s="4">
        <v>0.43175</v>
      </c>
      <c r="L53" s="4">
        <v>0.8634900000000001</v>
      </c>
      <c r="M53" s="4">
        <v>4.375</v>
      </c>
      <c r="N53" s="4">
        <v>1.53578</v>
      </c>
      <c r="O53" s="4">
        <v>3.75197</v>
      </c>
      <c r="P53" s="4">
        <v>7.28389</v>
      </c>
      <c r="Q53" s="4">
        <v>2.64041</v>
      </c>
      <c r="R53" s="4">
        <v>5.39575</v>
      </c>
    </row>
    <row r="54" spans="1:18" ht="12.75">
      <c r="A54" s="3" t="s">
        <v>6</v>
      </c>
      <c r="B54" s="4">
        <v>2.8</v>
      </c>
      <c r="D54" s="4">
        <v>2.62506</v>
      </c>
      <c r="E54" s="4">
        <v>2.8</v>
      </c>
      <c r="F54" s="4">
        <v>2.73984</v>
      </c>
      <c r="G54" s="4">
        <v>0.22198</v>
      </c>
      <c r="H54" s="4">
        <v>2.219</v>
      </c>
      <c r="I54" s="4">
        <v>1.2023</v>
      </c>
      <c r="J54" s="4">
        <v>5.50574</v>
      </c>
      <c r="K54" s="4">
        <v>1.3224200000000002</v>
      </c>
      <c r="L54" s="4">
        <v>2.6448400000000003</v>
      </c>
      <c r="M54" s="4">
        <v>1.7424</v>
      </c>
      <c r="N54" s="4">
        <v>0.9647200000000001</v>
      </c>
      <c r="O54" s="4">
        <v>0.5692600000000001</v>
      </c>
      <c r="P54" s="4">
        <v>0.11886000000000001</v>
      </c>
      <c r="Q54" s="4">
        <v>2.34675</v>
      </c>
      <c r="R54" s="4">
        <v>0</v>
      </c>
    </row>
    <row r="55" spans="1:18" ht="12.75">
      <c r="A55" s="3" t="s">
        <v>7</v>
      </c>
      <c r="B55" s="4">
        <v>12.5</v>
      </c>
      <c r="D55" s="4">
        <v>12.67954</v>
      </c>
      <c r="E55" s="4">
        <v>12.5</v>
      </c>
      <c r="F55" s="4">
        <v>12.09608</v>
      </c>
      <c r="G55" s="4">
        <v>3.78002</v>
      </c>
      <c r="H55" s="4">
        <v>8.75</v>
      </c>
      <c r="I55" s="4">
        <v>7.49158</v>
      </c>
      <c r="J55" s="4">
        <v>4.9223</v>
      </c>
      <c r="K55" s="4">
        <v>1.18228</v>
      </c>
      <c r="L55" s="4">
        <v>2.36457</v>
      </c>
      <c r="M55" s="4">
        <v>11.17187</v>
      </c>
      <c r="N55" s="4">
        <v>3.29009</v>
      </c>
      <c r="O55" s="4">
        <v>6.71067</v>
      </c>
      <c r="P55" s="4">
        <v>4.58001</v>
      </c>
      <c r="Q55" s="4">
        <v>11.166</v>
      </c>
      <c r="R55" s="4">
        <v>7.35446</v>
      </c>
    </row>
    <row r="56" spans="1:2" ht="12.75">
      <c r="A56" s="5" t="s">
        <v>8</v>
      </c>
      <c r="B56" s="6">
        <f>(B52+B53)*(B55/2)</f>
        <v>62</v>
      </c>
    </row>
    <row r="57" spans="1:2" ht="12.75">
      <c r="A57" s="5" t="s">
        <v>9</v>
      </c>
      <c r="B57" s="6">
        <f>B52-B53-B54</f>
        <v>0.7199999999999998</v>
      </c>
    </row>
    <row r="58" spans="1:2" ht="12.75">
      <c r="A58" s="5" t="s">
        <v>10</v>
      </c>
      <c r="B58" s="6">
        <f>IF(B52=B53,1,(B52-(B53+B57))/B55)</f>
        <v>0.22399999999999998</v>
      </c>
    </row>
    <row r="59" spans="1:8" ht="12.75">
      <c r="A59" s="5" t="s">
        <v>11</v>
      </c>
      <c r="B59" s="6">
        <f>IF(B52=B53,1,(B52-(B53+B54))/B55)</f>
        <v>0.05759999999999998</v>
      </c>
      <c r="H59" s="7"/>
    </row>
    <row r="60" spans="1:2" ht="12.75">
      <c r="A60" s="5" t="s">
        <v>12</v>
      </c>
      <c r="B60" s="6">
        <f>(B58+B59)/2</f>
        <v>0.14079999999999998</v>
      </c>
    </row>
    <row r="61" spans="1:2" ht="12.75">
      <c r="A61" s="5" t="s">
        <v>13</v>
      </c>
      <c r="B61" s="6">
        <f>(2/3)*((B52^2+(B52*B53)+B53^2))/(B52+B53)</f>
        <v>5.1681720430107525</v>
      </c>
    </row>
    <row r="62" spans="1:15" ht="12.75">
      <c r="A62" s="1" t="s">
        <v>14</v>
      </c>
      <c r="B62" s="8"/>
      <c r="O62" s="1" t="s">
        <v>84</v>
      </c>
    </row>
    <row r="63" spans="1:15" ht="12.75">
      <c r="A63" s="3" t="s">
        <v>4</v>
      </c>
      <c r="B63" s="4">
        <v>0</v>
      </c>
      <c r="H63" s="11"/>
      <c r="O63" s="4">
        <v>7.28389</v>
      </c>
    </row>
    <row r="64" spans="1:15" ht="12.75">
      <c r="A64" s="3" t="s">
        <v>5</v>
      </c>
      <c r="B64" s="4">
        <v>0</v>
      </c>
      <c r="H64" s="11"/>
      <c r="O64" s="4">
        <v>5.70653</v>
      </c>
    </row>
    <row r="65" spans="1:15" ht="12.75">
      <c r="A65" s="3" t="s">
        <v>6</v>
      </c>
      <c r="B65" s="4">
        <v>0</v>
      </c>
      <c r="O65" s="4">
        <v>1.13164</v>
      </c>
    </row>
    <row r="66" spans="1:15" ht="12.75">
      <c r="A66" s="3" t="s">
        <v>7</v>
      </c>
      <c r="B66" s="4">
        <v>0</v>
      </c>
      <c r="O66" s="4">
        <v>4.06859</v>
      </c>
    </row>
    <row r="67" spans="1:17" ht="12.75">
      <c r="A67" s="5" t="s">
        <v>8</v>
      </c>
      <c r="B67" s="6">
        <f>(B63+B64)*(B66/2)</f>
        <v>0</v>
      </c>
      <c r="H67" s="5"/>
      <c r="O67" s="12"/>
      <c r="Q67" s="7"/>
    </row>
    <row r="68" spans="1:17" ht="12.75">
      <c r="A68" s="5" t="s">
        <v>9</v>
      </c>
      <c r="B68" s="6">
        <f>B63-B64-B65</f>
        <v>0</v>
      </c>
      <c r="H68" s="5"/>
      <c r="O68" s="12"/>
      <c r="Q68" s="7"/>
    </row>
    <row r="69" spans="1:15" ht="12.75">
      <c r="A69" s="5" t="s">
        <v>10</v>
      </c>
      <c r="B69" s="6">
        <f>IF(B63=0,0,IF(B63=B64,1,(B63-(B64+B68))/B66))</f>
        <v>0</v>
      </c>
      <c r="H69" s="5"/>
      <c r="O69" s="12"/>
    </row>
    <row r="70" spans="1:15" ht="12.75">
      <c r="A70" s="5" t="s">
        <v>11</v>
      </c>
      <c r="B70" s="6">
        <f>IF(B63=0,0,IF(B63=B64,1,(B63-(B64+B65))/B66))</f>
        <v>0</v>
      </c>
      <c r="H70" s="5"/>
      <c r="O70" s="12"/>
    </row>
    <row r="71" spans="1:15" ht="12.75">
      <c r="A71" s="5" t="s">
        <v>12</v>
      </c>
      <c r="B71" s="6">
        <f>(B69+B70)/2</f>
        <v>0</v>
      </c>
      <c r="O71" s="12"/>
    </row>
    <row r="72" spans="1:15" ht="12.75">
      <c r="A72" s="5" t="s">
        <v>13</v>
      </c>
      <c r="B72" s="6">
        <f>IF(B63=0,0,(2/3)*((B63^2+(B63*B64)+B64^2))/(B63+B64))</f>
        <v>0</v>
      </c>
      <c r="O72" s="12"/>
    </row>
    <row r="73" spans="1:15" ht="12.75">
      <c r="A73" s="1" t="s">
        <v>15</v>
      </c>
      <c r="B73" s="8"/>
      <c r="O73" s="12" t="s">
        <v>84</v>
      </c>
    </row>
    <row r="74" spans="1:15" ht="12.75">
      <c r="A74" s="3" t="s">
        <v>4</v>
      </c>
      <c r="B74" s="4">
        <v>0</v>
      </c>
      <c r="O74" s="4">
        <v>5.70653</v>
      </c>
    </row>
    <row r="75" spans="1:15" ht="12.75">
      <c r="A75" s="3" t="s">
        <v>5</v>
      </c>
      <c r="B75" s="4">
        <v>0</v>
      </c>
      <c r="O75" s="4">
        <v>1.99449</v>
      </c>
    </row>
    <row r="76" spans="1:15" ht="12.75">
      <c r="A76" s="3" t="s">
        <v>6</v>
      </c>
      <c r="B76" s="4">
        <v>0</v>
      </c>
      <c r="O76" s="4">
        <v>1.83858</v>
      </c>
    </row>
    <row r="77" spans="1:15" ht="12.75">
      <c r="A77" s="3" t="s">
        <v>7</v>
      </c>
      <c r="B77" s="4">
        <v>0</v>
      </c>
      <c r="O77" s="4">
        <v>2.4216</v>
      </c>
    </row>
    <row r="78" spans="1:15" ht="12.75">
      <c r="A78" s="5" t="s">
        <v>8</v>
      </c>
      <c r="B78" s="6">
        <f>(B74+B75)*(B77/2)</f>
        <v>0</v>
      </c>
      <c r="O78" s="12"/>
    </row>
    <row r="79" spans="1:15" ht="12.75">
      <c r="A79" s="5" t="s">
        <v>9</v>
      </c>
      <c r="B79" s="6">
        <f>B74-B75-B76</f>
        <v>0</v>
      </c>
      <c r="O79" s="12"/>
    </row>
    <row r="80" spans="1:15" ht="12.75">
      <c r="A80" s="5" t="s">
        <v>10</v>
      </c>
      <c r="B80" s="6">
        <f>IF(B74=0,0,IF(B74=B75,1,(B74-(B75+B79))/B77))</f>
        <v>0</v>
      </c>
      <c r="O80" s="12"/>
    </row>
    <row r="81" spans="1:15" ht="12.75">
      <c r="A81" s="5" t="s">
        <v>11</v>
      </c>
      <c r="B81" s="6">
        <f>IF(B74=0,0,IF(B74=B75,1,(B74-(B75+B76))/B77))</f>
        <v>0</v>
      </c>
      <c r="O81" s="12"/>
    </row>
    <row r="82" spans="1:15" ht="12.75">
      <c r="A82" s="5" t="s">
        <v>12</v>
      </c>
      <c r="B82" s="6">
        <f>(B80+B81)/2</f>
        <v>0</v>
      </c>
      <c r="O82" s="12"/>
    </row>
    <row r="83" spans="1:15" ht="12.75">
      <c r="A83" s="5" t="s">
        <v>13</v>
      </c>
      <c r="B83" s="6">
        <f>IF(B74=0,0,(2/3)*((B74^2+(B74*B75)+B75^2))/(B74+B75))</f>
        <v>0</v>
      </c>
      <c r="O83" s="12"/>
    </row>
    <row r="84" spans="1:15" ht="12.75">
      <c r="A84" s="1" t="s">
        <v>28</v>
      </c>
      <c r="B84" s="8"/>
      <c r="O84" s="12"/>
    </row>
    <row r="85" spans="1:15" ht="12.75">
      <c r="A85" s="3" t="s">
        <v>17</v>
      </c>
      <c r="B85" s="9">
        <f>((B61*B56)+(B72*B67)+(B83*B78))/(B56+B67+B78)</f>
        <v>5.1681720430107525</v>
      </c>
      <c r="O85" s="12"/>
    </row>
    <row r="86" spans="1:15" ht="12.75">
      <c r="A86" s="3" t="s">
        <v>18</v>
      </c>
      <c r="B86" s="9">
        <f>B85/4</f>
        <v>1.2920430107526881</v>
      </c>
      <c r="O86" s="12"/>
    </row>
    <row r="87" spans="1:15" ht="12.75">
      <c r="A87" s="3" t="str">
        <f>IF(B63=0,"Tip Distance to the Mean Chord","2nd Panel Tip Distance to Mean Chord")</f>
        <v>Tip Distance to the Mean Chord</v>
      </c>
      <c r="B87" s="9">
        <f>IF(B63&gt;0,(B85-(B64*1/B71)*B71)/(2*B71),IF(B52=B53,B55/2,(B85-(B53*1/B60)*B60)/(2*B60)))</f>
        <v>6.989247311827957</v>
      </c>
      <c r="O87" s="12"/>
    </row>
    <row r="88" spans="1:15" ht="12.75">
      <c r="A88" s="3" t="s">
        <v>19</v>
      </c>
      <c r="B88" s="9">
        <f>(B55+B66)-B87</f>
        <v>5.510752688172043</v>
      </c>
      <c r="O88" s="12"/>
    </row>
    <row r="89" spans="1:15" ht="12.75">
      <c r="A89" s="3" t="s">
        <v>25</v>
      </c>
      <c r="B89" s="9">
        <f>IF(AND(B63=0,B52=B53),B86,IF(B63=0,((B55-B87)*B58)+B86,((B66-B87)*B69)+B86-(B63-B53)+B54))</f>
        <v>2.5264516129032257</v>
      </c>
      <c r="O89" s="12"/>
    </row>
    <row r="90" spans="1:15" ht="12.75">
      <c r="A90" s="3" t="s">
        <v>21</v>
      </c>
      <c r="O90" s="12"/>
    </row>
    <row r="91" spans="1:15" ht="12.75">
      <c r="A91" s="3" t="s">
        <v>22</v>
      </c>
      <c r="B91" s="9">
        <f>(IF(B54+B65+B76&gt;B52,(B85*0.75/0.837),IF(B54&lt;0,(B85*0.75/0.837),IF((B85-(B85*0.193))/0.75&gt;B52,B52,(B85-(B85*0.193))/0.75))))</f>
        <v>5.56095311827957</v>
      </c>
      <c r="O91" s="12"/>
    </row>
    <row r="92" spans="1:15" ht="12.75">
      <c r="A92" s="3" t="s">
        <v>23</v>
      </c>
      <c r="B92" s="9">
        <f>IF((B85-(B85*0.193))/0.75&gt;B52,B52*0.193,B91/4)</f>
        <v>1.3902382795698924</v>
      </c>
      <c r="O92" s="12"/>
    </row>
    <row r="93" spans="1:15" ht="12.75">
      <c r="A93" s="3" t="str">
        <f>IF(B69=0,"Tip Distance to the MAC","2nd Panel Tip Distance to MAC")</f>
        <v>Tip Distance to the MAC</v>
      </c>
      <c r="B93" s="9">
        <f>IF(B63&gt;0,(B91-(B64*1/B71)*B71)/(2*B71),IF(B52=B53,B55/2,(B91-(B53*1/B60)*B60)/(2*B60)))</f>
        <v>8.384066471163246</v>
      </c>
      <c r="O93" s="12"/>
    </row>
    <row r="94" spans="1:15" ht="12.75">
      <c r="A94" s="3" t="s">
        <v>24</v>
      </c>
      <c r="B94" s="9">
        <f>(B55+B66)-B93</f>
        <v>4.115933528836754</v>
      </c>
      <c r="O94" s="12"/>
    </row>
    <row r="95" spans="1:18" ht="12.75">
      <c r="A95" s="3" t="s">
        <v>25</v>
      </c>
      <c r="B95" s="9">
        <f>IF(AND(B63=0,B52=B53),B92,IF(B63=0,((B55-B93)*B58)+B92,((B66-B93)*B69)+B92-(B63-B53)+B54))</f>
        <v>2.312207390029325</v>
      </c>
      <c r="F95" s="1" t="s">
        <v>72</v>
      </c>
      <c r="G95" s="1" t="s">
        <v>73</v>
      </c>
      <c r="I95" s="1" t="s">
        <v>74</v>
      </c>
      <c r="J95" s="1" t="s">
        <v>75</v>
      </c>
      <c r="K95" s="1" t="s">
        <v>73</v>
      </c>
      <c r="L95" s="1" t="s">
        <v>76</v>
      </c>
      <c r="M95" s="1" t="s">
        <v>77</v>
      </c>
      <c r="P95" s="12"/>
      <c r="R95" s="2"/>
    </row>
    <row r="96" spans="2:18" ht="12.75">
      <c r="B96" s="8"/>
      <c r="D96" s="1" t="s">
        <v>78</v>
      </c>
      <c r="E96" s="1" t="s">
        <v>3</v>
      </c>
      <c r="F96" s="1" t="s">
        <v>3</v>
      </c>
      <c r="G96" s="1" t="s">
        <v>3</v>
      </c>
      <c r="H96" s="1" t="s">
        <v>79</v>
      </c>
      <c r="I96" s="1" t="s">
        <v>80</v>
      </c>
      <c r="J96" s="1" t="s">
        <v>81</v>
      </c>
      <c r="K96" s="1" t="s">
        <v>81</v>
      </c>
      <c r="L96" s="1" t="s">
        <v>81</v>
      </c>
      <c r="M96" s="1" t="s">
        <v>82</v>
      </c>
      <c r="N96" s="1" t="s">
        <v>73</v>
      </c>
      <c r="O96" s="1" t="s">
        <v>83</v>
      </c>
      <c r="P96" s="1" t="s">
        <v>84</v>
      </c>
      <c r="Q96" s="1" t="s">
        <v>85</v>
      </c>
      <c r="R96" s="1" t="s">
        <v>86</v>
      </c>
    </row>
    <row r="97" spans="1:18" ht="12.75">
      <c r="A97" s="5" t="s">
        <v>29</v>
      </c>
      <c r="B97" s="4">
        <v>28.75</v>
      </c>
      <c r="D97" s="21">
        <v>31.126878</v>
      </c>
      <c r="E97" s="4">
        <v>28.75</v>
      </c>
      <c r="F97" s="4">
        <v>27.7783</v>
      </c>
      <c r="G97" s="4">
        <v>8.68072</v>
      </c>
      <c r="H97" s="4">
        <v>23.875</v>
      </c>
      <c r="I97" s="4">
        <v>16.91581</v>
      </c>
      <c r="J97" s="4">
        <v>22.81099</v>
      </c>
      <c r="K97" s="4">
        <v>5.47896</v>
      </c>
      <c r="L97" s="4">
        <v>10.95792</v>
      </c>
      <c r="M97" s="4">
        <v>25.73144</v>
      </c>
      <c r="N97" s="4">
        <v>8.30317</v>
      </c>
      <c r="O97" s="4">
        <v>18.2834</v>
      </c>
      <c r="P97" s="21">
        <v>30.32161</v>
      </c>
      <c r="Q97" s="4">
        <v>26.35182</v>
      </c>
      <c r="R97" s="4">
        <v>20.30137</v>
      </c>
    </row>
    <row r="98" spans="1:6" ht="12.75">
      <c r="A98" s="5" t="s">
        <v>30</v>
      </c>
      <c r="B98" s="9">
        <f>B97-B47+B95</f>
        <v>28.12906475319451</v>
      </c>
      <c r="F98" s="12"/>
    </row>
    <row r="99" spans="1:6" ht="12.75">
      <c r="A99" s="1" t="s">
        <v>31</v>
      </c>
      <c r="F99" s="12"/>
    </row>
    <row r="100" spans="1:5" ht="12.75">
      <c r="A100" s="5" t="s">
        <v>32</v>
      </c>
      <c r="B100" s="9">
        <f>B8+B19+B30</f>
        <v>329.78175</v>
      </c>
      <c r="E100" s="5"/>
    </row>
    <row r="101" spans="1:5" ht="12.75">
      <c r="A101" s="5" t="s">
        <v>33</v>
      </c>
      <c r="B101" s="9">
        <f>B100*2</f>
        <v>659.5635</v>
      </c>
      <c r="E101" s="5"/>
    </row>
    <row r="102" spans="1:5" ht="12.75">
      <c r="A102" s="5" t="s">
        <v>34</v>
      </c>
      <c r="B102" s="9">
        <f>B56+B67+B78</f>
        <v>62</v>
      </c>
      <c r="E102" s="5"/>
    </row>
    <row r="103" spans="1:2" ht="12.75">
      <c r="A103" s="5" t="s">
        <v>35</v>
      </c>
      <c r="B103" s="9">
        <f>B102*2</f>
        <v>124</v>
      </c>
    </row>
    <row r="104" ht="12.75">
      <c r="D104" t="s">
        <v>88</v>
      </c>
    </row>
    <row r="105" spans="1:4" ht="12.75">
      <c r="A105" s="5" t="s">
        <v>36</v>
      </c>
      <c r="B105" s="7">
        <f>((B7+B18+B29)*2)^2/B101</f>
        <v>10.56088094626219</v>
      </c>
      <c r="C105" s="7"/>
      <c r="D105" t="s">
        <v>89</v>
      </c>
    </row>
    <row r="106" spans="1:3" ht="12.75">
      <c r="A106" s="5" t="s">
        <v>37</v>
      </c>
      <c r="B106" s="7">
        <f>(B103/B101)*(B98/B43)</f>
        <v>0.5949225953517033</v>
      </c>
      <c r="C106" s="7"/>
    </row>
    <row r="107" spans="1:20" ht="12.75">
      <c r="A107" s="5" t="s">
        <v>38</v>
      </c>
      <c r="B107" s="13">
        <f>0.25+(0.25*SQRT(SQRT(B105))*B106)</f>
        <v>0.5181177148397236</v>
      </c>
      <c r="C107" s="13"/>
      <c r="E107" s="1" t="s">
        <v>90</v>
      </c>
      <c r="F107" s="1" t="s">
        <v>91</v>
      </c>
      <c r="G107" s="1" t="s">
        <v>90</v>
      </c>
      <c r="H107" s="1" t="s">
        <v>91</v>
      </c>
      <c r="I107" s="1" t="s">
        <v>90</v>
      </c>
      <c r="J107" s="1" t="s">
        <v>91</v>
      </c>
      <c r="K107" s="1" t="s">
        <v>90</v>
      </c>
      <c r="L107" s="1" t="s">
        <v>91</v>
      </c>
      <c r="M107" s="1" t="s">
        <v>90</v>
      </c>
      <c r="N107" s="1" t="s">
        <v>91</v>
      </c>
      <c r="O107" s="1" t="s">
        <v>90</v>
      </c>
      <c r="P107" s="1" t="s">
        <v>91</v>
      </c>
      <c r="Q107" s="1" t="s">
        <v>90</v>
      </c>
      <c r="R107" s="1" t="s">
        <v>91</v>
      </c>
      <c r="S107" s="1" t="s">
        <v>90</v>
      </c>
      <c r="T107" s="1" t="s">
        <v>91</v>
      </c>
    </row>
    <row r="108" spans="1:20" ht="12.75">
      <c r="A108" s="5" t="s">
        <v>39</v>
      </c>
      <c r="B108" s="7">
        <f>B43*B107</f>
        <v>4.605622536220707</v>
      </c>
      <c r="C108" s="7"/>
      <c r="E108" s="1" t="s">
        <v>81</v>
      </c>
      <c r="F108" s="1" t="s">
        <v>81</v>
      </c>
      <c r="G108" s="14" t="s">
        <v>80</v>
      </c>
      <c r="H108" s="14" t="s">
        <v>80</v>
      </c>
      <c r="I108" s="1" t="s">
        <v>82</v>
      </c>
      <c r="J108" s="1" t="s">
        <v>82</v>
      </c>
      <c r="K108" s="1" t="s">
        <v>73</v>
      </c>
      <c r="L108" s="1" t="s">
        <v>73</v>
      </c>
      <c r="M108" s="1" t="s">
        <v>92</v>
      </c>
      <c r="N108" s="1" t="s">
        <v>92</v>
      </c>
      <c r="O108" s="1" t="s">
        <v>93</v>
      </c>
      <c r="P108" s="1" t="s">
        <v>93</v>
      </c>
      <c r="Q108" s="1" t="s">
        <v>94</v>
      </c>
      <c r="R108" s="1" t="s">
        <v>94</v>
      </c>
      <c r="S108" s="14" t="s">
        <v>3</v>
      </c>
      <c r="T108" s="14" t="s">
        <v>3</v>
      </c>
    </row>
    <row r="109" spans="1:20" ht="12.75">
      <c r="A109" s="5" t="s">
        <v>40</v>
      </c>
      <c r="B109" s="7">
        <f>B108-B44</f>
        <v>2.383336748498979</v>
      </c>
      <c r="C109" s="7"/>
      <c r="D109" s="22" t="s">
        <v>95</v>
      </c>
      <c r="E109" s="23">
        <v>0.2267898616301415</v>
      </c>
      <c r="F109" s="23">
        <v>0.22224956231382886</v>
      </c>
      <c r="G109" s="23">
        <v>0.27919923899300514</v>
      </c>
      <c r="H109" s="23">
        <v>0.3108373377189465</v>
      </c>
      <c r="I109" s="23">
        <v>0.3286</v>
      </c>
      <c r="J109" s="23">
        <v>0.311</v>
      </c>
      <c r="K109" s="23">
        <v>0.4787776361669151</v>
      </c>
      <c r="L109" s="23">
        <v>0.4896862145695439</v>
      </c>
      <c r="M109" s="23">
        <v>0.2281159648036322</v>
      </c>
      <c r="N109" s="23">
        <v>0.22477588849114122</v>
      </c>
      <c r="O109" s="23">
        <v>0.2281159648036322</v>
      </c>
      <c r="P109" s="23">
        <v>0.2228070399974185</v>
      </c>
      <c r="Q109" s="23">
        <v>0.3678478011084141</v>
      </c>
      <c r="R109" s="23">
        <v>0.3476470164586167</v>
      </c>
      <c r="S109" s="23">
        <v>0.3858624414037865</v>
      </c>
      <c r="T109" s="23">
        <v>0.3681177148397236</v>
      </c>
    </row>
    <row r="110" spans="1:20" ht="12.75">
      <c r="A110" s="5" t="s">
        <v>41</v>
      </c>
      <c r="B110" s="13">
        <f>B109/B43</f>
        <v>0.2681177148397236</v>
      </c>
      <c r="C110" s="13"/>
      <c r="D110" s="3" t="s">
        <v>96</v>
      </c>
      <c r="E110" s="15">
        <f>J4-5.83</f>
        <v>6.13969</v>
      </c>
      <c r="F110" s="15">
        <f>J4-8.3644421985</f>
        <v>3.605247801499999</v>
      </c>
      <c r="G110" s="15">
        <v>-0.9072947640242415</v>
      </c>
      <c r="H110" s="15">
        <v>-1.702102799</v>
      </c>
      <c r="I110" s="15">
        <v>4.06</v>
      </c>
      <c r="J110" s="15">
        <v>3.92</v>
      </c>
      <c r="K110" s="15">
        <v>2.923442506773066</v>
      </c>
      <c r="L110" s="15">
        <v>3.094781622340836</v>
      </c>
      <c r="M110" s="15">
        <v>1.1227216448907784</v>
      </c>
      <c r="N110" s="15">
        <v>1.71136356653661</v>
      </c>
      <c r="O110" s="15">
        <f>L4-2.2454328062</f>
        <v>3.5045571938</v>
      </c>
      <c r="P110" s="15">
        <f>L4-4.0132094941</f>
        <v>1.7367805059000005</v>
      </c>
      <c r="Q110" s="15">
        <v>0.9495077785620691</v>
      </c>
      <c r="R110" s="15">
        <v>0.9655641674940834</v>
      </c>
      <c r="S110" s="15">
        <v>4.526434319053958</v>
      </c>
      <c r="T110" s="15">
        <v>3.9831079127007576</v>
      </c>
    </row>
    <row r="111" spans="1:20" ht="12.75">
      <c r="A111" s="5" t="s">
        <v>42</v>
      </c>
      <c r="B111" s="7">
        <f>B47+B109</f>
        <v>5.316479385333794</v>
      </c>
      <c r="C111" s="7"/>
      <c r="D111" s="3" t="s">
        <v>97</v>
      </c>
      <c r="E111" s="24">
        <v>3.6856989618966622</v>
      </c>
      <c r="F111" s="24">
        <v>3.6856989618966622</v>
      </c>
      <c r="G111" s="24">
        <v>5.109460312954617</v>
      </c>
      <c r="H111" s="24">
        <v>5.109460312954617</v>
      </c>
      <c r="I111" s="24">
        <v>5.3377038113238635</v>
      </c>
      <c r="J111" s="24">
        <v>5.3377038113238635</v>
      </c>
      <c r="K111" s="24">
        <v>5.94548</v>
      </c>
      <c r="L111" s="24">
        <v>5.94548</v>
      </c>
      <c r="M111" s="24">
        <v>3.6916867370264</v>
      </c>
      <c r="N111" s="24">
        <v>3.6916867370264</v>
      </c>
      <c r="O111" s="24">
        <v>3.6916856263203477</v>
      </c>
      <c r="P111" s="24">
        <v>3.6916856263203477</v>
      </c>
      <c r="Q111" s="24">
        <v>10.010866615001378</v>
      </c>
      <c r="R111" s="24">
        <v>10.010866615001378</v>
      </c>
      <c r="S111" s="24">
        <v>10.56088094626219</v>
      </c>
      <c r="T111" s="24">
        <v>10.56088094626219</v>
      </c>
    </row>
    <row r="112" spans="1:20" ht="12.75">
      <c r="A112" s="5" t="s">
        <v>43</v>
      </c>
      <c r="B112" s="7">
        <f>B108-(B43*0.05)</f>
        <v>4.161165378676362</v>
      </c>
      <c r="C112" s="7"/>
      <c r="D112" s="3" t="s">
        <v>98</v>
      </c>
      <c r="E112" s="25">
        <v>0.36602820673671826</v>
      </c>
      <c r="F112" s="25">
        <v>0.3529208683783429</v>
      </c>
      <c r="G112" s="25">
        <v>0.47676283633122635</v>
      </c>
      <c r="H112" s="25">
        <v>0.5609365737280462</v>
      </c>
      <c r="I112" s="25">
        <v>0.6015030025593837</v>
      </c>
      <c r="J112" s="25">
        <v>0.5551719603830778</v>
      </c>
      <c r="K112" s="25">
        <v>0.9702809704563305</v>
      </c>
      <c r="L112" s="25">
        <v>0.998224505206459</v>
      </c>
      <c r="M112" s="25">
        <v>0.3697064542785602</v>
      </c>
      <c r="N112" s="25">
        <v>0.36006793832620754</v>
      </c>
      <c r="O112" s="25">
        <v>0.3697068111323993</v>
      </c>
      <c r="P112" s="25">
        <v>0.354386424849645</v>
      </c>
      <c r="Q112" s="25">
        <v>0.602323985763927</v>
      </c>
      <c r="R112" s="25">
        <v>0.5568973775353986</v>
      </c>
      <c r="S112" s="25">
        <v>0.6342961174914444</v>
      </c>
      <c r="T112" s="25">
        <v>0.5949225953517033</v>
      </c>
    </row>
    <row r="113" spans="1:20" ht="12.75">
      <c r="A113" s="5" t="s">
        <v>44</v>
      </c>
      <c r="B113" s="7">
        <f>B111-(B108-B112)</f>
        <v>4.872022227789449</v>
      </c>
      <c r="C113" s="7"/>
      <c r="D113" s="26" t="s">
        <v>50</v>
      </c>
      <c r="E113" s="27">
        <v>0.2720094022455728</v>
      </c>
      <c r="F113" s="27">
        <v>0.2676402894594476</v>
      </c>
      <c r="G113" s="27">
        <v>0.3089209454437421</v>
      </c>
      <c r="H113" s="27">
        <v>0.3369788579093487</v>
      </c>
      <c r="I113" s="27">
        <v>0.3505</v>
      </c>
      <c r="J113" s="27">
        <v>0.33509999999999995</v>
      </c>
      <c r="K113" s="27">
        <v>0.4734269901521102</v>
      </c>
      <c r="L113" s="27">
        <v>0.4827415017354863</v>
      </c>
      <c r="M113" s="27">
        <v>0.27323548475952003</v>
      </c>
      <c r="N113" s="27">
        <v>0.2700226461087359</v>
      </c>
      <c r="O113" s="27">
        <v>0.27323560371079975</v>
      </c>
      <c r="P113" s="27">
        <v>0.268128808283215</v>
      </c>
      <c r="Q113" s="27">
        <v>0.350774661921309</v>
      </c>
      <c r="R113" s="27">
        <v>0.3356324591784662</v>
      </c>
      <c r="S113" s="27">
        <v>0.36143203916381483</v>
      </c>
      <c r="T113" s="27">
        <v>0.3483075317839011</v>
      </c>
    </row>
    <row r="114" spans="1:20" ht="12.75">
      <c r="A114" s="5" t="s">
        <v>45</v>
      </c>
      <c r="B114" s="13">
        <f>B112/B43</f>
        <v>0.4681177148397236</v>
      </c>
      <c r="C114" s="13"/>
      <c r="D114" s="3" t="s">
        <v>99</v>
      </c>
      <c r="E114" s="15">
        <f>J4-5.16251459933212</f>
        <v>6.80717540066788</v>
      </c>
      <c r="F114" s="15">
        <f>J4-8.6864296118</f>
        <v>3.2832603882000004</v>
      </c>
      <c r="G114" s="15">
        <v>-0.6668515192907694</v>
      </c>
      <c r="H114" s="15">
        <v>-1.5139531694720052</v>
      </c>
      <c r="I114" s="15">
        <v>4.28</v>
      </c>
      <c r="J114" s="15">
        <v>4.19</v>
      </c>
      <c r="K114" s="15">
        <v>2.909388559981595</v>
      </c>
      <c r="L114" s="15">
        <v>3.0778291085727574</v>
      </c>
      <c r="M114" s="15">
        <v>1.208572012748309</v>
      </c>
      <c r="N114" s="15">
        <v>1.7913751530290725</v>
      </c>
      <c r="O114" s="15">
        <f>L4-2.41713360509359</f>
        <v>3.3328563949064103</v>
      </c>
      <c r="P114" s="15">
        <f>L4-4.1673844905</f>
        <v>1.5826055095000005</v>
      </c>
      <c r="Q114" s="15">
        <v>0.9054377082401011</v>
      </c>
      <c r="R114" s="15">
        <v>0.9321946131795005</v>
      </c>
      <c r="S114" s="15">
        <v>4.324607792339407</v>
      </c>
      <c r="T114" s="15">
        <v>3.807012359672277</v>
      </c>
    </row>
    <row r="115" spans="1:16" ht="12.75">
      <c r="A115" s="5" t="s">
        <v>46</v>
      </c>
      <c r="B115" s="7">
        <f>B108-(B43*0.15)</f>
        <v>3.2722510635876705</v>
      </c>
      <c r="C115" s="7"/>
      <c r="E115" s="12"/>
      <c r="F115" s="12"/>
      <c r="M115" s="12"/>
      <c r="N115" s="12"/>
      <c r="P115" t="s">
        <v>100</v>
      </c>
    </row>
    <row r="116" spans="1:16" ht="12.75">
      <c r="A116" s="5" t="s">
        <v>44</v>
      </c>
      <c r="B116" s="7">
        <f>B111-(B108-B115)</f>
        <v>3.9831079127007576</v>
      </c>
      <c r="C116" s="7"/>
      <c r="E116" s="15"/>
      <c r="F116" s="15"/>
      <c r="M116" s="15"/>
      <c r="N116" s="15"/>
      <c r="P116" t="s">
        <v>101</v>
      </c>
    </row>
    <row r="117" spans="1:33" ht="12.75">
      <c r="A117" s="5" t="s">
        <v>47</v>
      </c>
      <c r="B117" s="13">
        <f>B115/B43</f>
        <v>0.3681177148397236</v>
      </c>
      <c r="C117" s="13"/>
      <c r="D117" s="7">
        <v>2.245432806184947</v>
      </c>
      <c r="E117" s="7"/>
      <c r="F117" s="18"/>
      <c r="G117" s="15"/>
      <c r="H117" s="15"/>
      <c r="I117" s="15"/>
      <c r="J117" s="15"/>
      <c r="K117" s="15"/>
      <c r="L117" s="15"/>
      <c r="M117" s="15"/>
      <c r="N117" s="15"/>
      <c r="O117" s="15"/>
      <c r="Q117" s="15"/>
      <c r="T117" s="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20" ht="12.75">
      <c r="A118" s="5" t="s">
        <v>48</v>
      </c>
      <c r="B118" s="7">
        <f>B108-(B43*0.2)</f>
        <v>2.8277939060433246</v>
      </c>
      <c r="C118" s="7"/>
      <c r="E118" s="3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13" ht="12.75">
      <c r="A119" s="5" t="s">
        <v>44</v>
      </c>
      <c r="B119" s="7">
        <f>B111-(B108-B118)</f>
        <v>3.5386507551564117</v>
      </c>
      <c r="C119" s="7"/>
      <c r="D119" s="7"/>
      <c r="K119" s="12"/>
      <c r="L119" s="12"/>
      <c r="M119" s="12"/>
    </row>
    <row r="120" spans="1:15" ht="12.75">
      <c r="A120" s="5" t="s">
        <v>49</v>
      </c>
      <c r="B120" s="13">
        <f>B118/B43</f>
        <v>0.31811771483972356</v>
      </c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7"/>
      <c r="O120" s="7"/>
    </row>
    <row r="121" spans="1:15" ht="12.75">
      <c r="A121" s="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7"/>
      <c r="O121" s="7"/>
    </row>
    <row r="122" spans="1:15" ht="12.75">
      <c r="A122" s="5" t="s">
        <v>50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7"/>
      <c r="O122" s="7"/>
    </row>
    <row r="123" spans="1:13" ht="12.75">
      <c r="A123" s="5" t="s">
        <v>51</v>
      </c>
      <c r="B123" s="11">
        <f>B44+(((B98/3)*(B102/B100))-B43/10)</f>
        <v>3.09615551055919</v>
      </c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3" ht="12.75">
      <c r="A124" s="5" t="s">
        <v>52</v>
      </c>
      <c r="B124" s="13">
        <f>B123/B43</f>
        <v>0.3483075317839011</v>
      </c>
      <c r="C124" s="13"/>
    </row>
    <row r="125" spans="1:3" ht="12.75">
      <c r="A125" s="5" t="s">
        <v>44</v>
      </c>
      <c r="B125" s="7">
        <f>B123+B48</f>
        <v>3.807012359672277</v>
      </c>
      <c r="C125" s="7"/>
    </row>
    <row r="127" ht="12.75">
      <c r="A127" s="5" t="s">
        <v>53</v>
      </c>
    </row>
    <row r="128" spans="1:3" ht="12.75">
      <c r="A128" s="5" t="s">
        <v>51</v>
      </c>
      <c r="B128" s="7">
        <f>(B43/6)+((3*B98*B103)/(8*B101))</f>
        <v>3.464655901148075</v>
      </c>
      <c r="C128" s="7"/>
    </row>
    <row r="129" spans="1:4" ht="12.75">
      <c r="A129" s="5" t="s">
        <v>52</v>
      </c>
      <c r="B129" s="13">
        <f>B128/B43</f>
        <v>0.3897626399235555</v>
      </c>
      <c r="C129" s="13"/>
      <c r="D129" t="s">
        <v>54</v>
      </c>
    </row>
    <row r="130" spans="1:6" ht="12.75">
      <c r="A130" s="5" t="s">
        <v>44</v>
      </c>
      <c r="B130" s="7">
        <f>B128+B48</f>
        <v>4.175512750261162</v>
      </c>
      <c r="C130" s="7"/>
      <c r="F130" t="s">
        <v>102</v>
      </c>
    </row>
    <row r="131" spans="6:12" ht="12.75">
      <c r="F131" s="2"/>
      <c r="H131" s="1" t="s">
        <v>75</v>
      </c>
      <c r="L131" s="1" t="s">
        <v>74</v>
      </c>
    </row>
    <row r="132" spans="7:20" ht="12.75">
      <c r="G132" s="1" t="s">
        <v>79</v>
      </c>
      <c r="H132" s="1" t="s">
        <v>81</v>
      </c>
      <c r="I132" s="1" t="s">
        <v>86</v>
      </c>
      <c r="J132" s="1" t="s">
        <v>85</v>
      </c>
      <c r="K132" s="1" t="s">
        <v>84</v>
      </c>
      <c r="L132" s="1" t="s">
        <v>103</v>
      </c>
      <c r="M132" s="1" t="s">
        <v>78</v>
      </c>
      <c r="N132" s="1" t="s">
        <v>82</v>
      </c>
      <c r="O132" s="1" t="s">
        <v>3</v>
      </c>
      <c r="S132" s="1" t="s">
        <v>104</v>
      </c>
      <c r="T132" s="1" t="s">
        <v>105</v>
      </c>
    </row>
    <row r="133" spans="1:20" ht="12.75">
      <c r="A133" s="3" t="s">
        <v>3</v>
      </c>
      <c r="B133" s="1" t="s">
        <v>17</v>
      </c>
      <c r="C133" s="1" t="s">
        <v>91</v>
      </c>
      <c r="F133" s="5" t="s">
        <v>106</v>
      </c>
      <c r="G133" s="23">
        <f>2.42602/13.5</f>
        <v>0.17970518518518516</v>
      </c>
      <c r="H133" s="23">
        <f>1.16642/7.8321290725</f>
        <v>0.14892757629537903</v>
      </c>
      <c r="I133" s="23">
        <f>2.24229/9.00028</f>
        <v>0.24913558244854606</v>
      </c>
      <c r="J133" s="23">
        <f>2.43015/9.421185</f>
        <v>0.2579452584786309</v>
      </c>
      <c r="K133" s="23">
        <f>2.84229/11.16744</f>
        <v>0.2545158066665234</v>
      </c>
      <c r="L133" s="23">
        <v>0.2119</v>
      </c>
      <c r="M133" s="23">
        <f>3.52399/11.8749767201</f>
        <v>0.29675763439899394</v>
      </c>
      <c r="N133" s="23">
        <v>0.315</v>
      </c>
      <c r="O133" s="23">
        <f>2.64439/8.2612854562</f>
        <v>0.32009425337256875</v>
      </c>
      <c r="S133" s="23">
        <v>0.11560000000000001</v>
      </c>
      <c r="T133" s="23">
        <v>0.2119</v>
      </c>
    </row>
    <row r="134" spans="1:20" ht="12.75">
      <c r="A134" s="5" t="s">
        <v>107</v>
      </c>
      <c r="B134" s="12">
        <v>10.560880000000001</v>
      </c>
      <c r="C134" s="12">
        <v>10.560880000000001</v>
      </c>
      <c r="F134" s="5" t="s">
        <v>108</v>
      </c>
      <c r="G134" s="27">
        <f>1.75102/13.5</f>
        <v>0.12970518518518517</v>
      </c>
      <c r="H134" s="27">
        <f>0.74505/7.8321290725</f>
        <v>0.09512739040729083</v>
      </c>
      <c r="I134" s="27">
        <f>1.79227/9.00028</f>
        <v>0.19913491580261947</v>
      </c>
      <c r="J134" s="27">
        <f>1.94167/9.421185</f>
        <v>0.20609615457078917</v>
      </c>
      <c r="K134" s="27">
        <f>2.24148/11.16744</f>
        <v>0.20071565193097077</v>
      </c>
      <c r="L134" s="27">
        <v>0.1654</v>
      </c>
      <c r="M134" s="27">
        <f>2.88513/11.8749767201</f>
        <v>0.24295879208895868</v>
      </c>
      <c r="N134" s="27">
        <v>0.261</v>
      </c>
      <c r="O134" s="27">
        <f>2.24148/8.2612854562</f>
        <v>0.27132339293732977</v>
      </c>
      <c r="S134" s="27">
        <v>0.0623</v>
      </c>
      <c r="T134" s="27">
        <v>0.1654</v>
      </c>
    </row>
    <row r="135" spans="1:20" ht="12.75">
      <c r="A135" s="28" t="s">
        <v>109</v>
      </c>
      <c r="B135" s="29">
        <v>0.6343000000000001</v>
      </c>
      <c r="C135" s="30">
        <v>0.59492</v>
      </c>
      <c r="F135" s="5" t="s">
        <v>97</v>
      </c>
      <c r="G135" s="1">
        <v>3.7037</v>
      </c>
      <c r="H135" s="1">
        <v>3.66045</v>
      </c>
      <c r="I135" s="1">
        <v>3.33738</v>
      </c>
      <c r="J135" s="1">
        <v>6.91253</v>
      </c>
      <c r="K135" s="1">
        <v>5.86281</v>
      </c>
      <c r="L135" s="1">
        <v>5.00702</v>
      </c>
      <c r="M135" s="1">
        <v>5.12995</v>
      </c>
      <c r="N135" s="1">
        <v>5.3377</v>
      </c>
      <c r="O135" s="1">
        <v>10.560880000000001</v>
      </c>
      <c r="S135" s="1">
        <v>3.6182600000000003</v>
      </c>
      <c r="T135" s="1">
        <v>5.00744</v>
      </c>
    </row>
    <row r="136" spans="1:20" ht="12.75">
      <c r="A136" s="5" t="s">
        <v>110</v>
      </c>
      <c r="B136" s="13">
        <v>0.53586</v>
      </c>
      <c r="C136" s="13">
        <v>0.5181177148397236</v>
      </c>
      <c r="F136" s="5" t="s">
        <v>111</v>
      </c>
      <c r="G136" s="31">
        <v>0.2298194960767453</v>
      </c>
      <c r="H136" s="31">
        <v>0.31204652310435543</v>
      </c>
      <c r="I136" s="31">
        <v>0.4417395838659602</v>
      </c>
      <c r="J136" s="31">
        <v>0.45496258999379385</v>
      </c>
      <c r="K136" s="31">
        <v>0.49197950897855247</v>
      </c>
      <c r="L136" s="31">
        <v>0.50522</v>
      </c>
      <c r="M136" s="31">
        <v>0.536724491912205</v>
      </c>
      <c r="N136" s="31">
        <v>0.55517</v>
      </c>
      <c r="O136" s="31">
        <v>0.5949225953517033</v>
      </c>
      <c r="S136" s="31">
        <v>0.20546451654233816</v>
      </c>
      <c r="T136" s="31">
        <v>0.5052183811630224</v>
      </c>
    </row>
    <row r="137" spans="1:15" ht="12.75">
      <c r="A137" s="28" t="s">
        <v>112</v>
      </c>
      <c r="B137" s="29">
        <v>4.426913</v>
      </c>
      <c r="C137" s="30">
        <v>4.60562</v>
      </c>
      <c r="F137" s="5" t="s">
        <v>113</v>
      </c>
      <c r="G137" s="32">
        <v>0.22385000000000002</v>
      </c>
      <c r="H137" s="32">
        <v>0.33652000000000004</v>
      </c>
      <c r="I137" s="32">
        <v>0.46412000000000003</v>
      </c>
      <c r="J137" s="32">
        <v>0.48718000000000006</v>
      </c>
      <c r="K137" s="32">
        <v>0.52546</v>
      </c>
      <c r="L137" s="32">
        <v>0.45763000000000004</v>
      </c>
      <c r="M137" s="32">
        <v>0.5791000000000001</v>
      </c>
      <c r="N137" s="32">
        <v>0.6015</v>
      </c>
      <c r="O137" s="32">
        <v>0.6343000000000001</v>
      </c>
    </row>
    <row r="138" spans="1:9" ht="12.75">
      <c r="A138" s="5" t="s">
        <v>114</v>
      </c>
      <c r="B138" s="12">
        <v>2.36159</v>
      </c>
      <c r="C138" s="12">
        <v>2.38334</v>
      </c>
      <c r="F138" s="5"/>
      <c r="G138" s="24"/>
      <c r="H138" s="24"/>
      <c r="I138" s="24"/>
    </row>
    <row r="139" spans="1:16" ht="12.75">
      <c r="A139" s="28" t="s">
        <v>115</v>
      </c>
      <c r="B139" s="33">
        <v>0.2858624414037865</v>
      </c>
      <c r="C139" s="33">
        <v>0.2681177148397236</v>
      </c>
      <c r="J139" s="7">
        <f>J135*J136</f>
        <v>3.1449425522098</v>
      </c>
      <c r="K139" s="7">
        <f>K135*K136</f>
        <v>2.884382385034547</v>
      </c>
      <c r="L139" s="7">
        <f>L135*L136</f>
        <v>2.5296466444</v>
      </c>
      <c r="M139" s="7">
        <f>M135*M136</f>
        <v>2.753369807285016</v>
      </c>
      <c r="N139" s="7">
        <f>N135*N136</f>
        <v>2.963330909</v>
      </c>
      <c r="O139" s="7">
        <f>O135*O136</f>
        <v>6.282906138797897</v>
      </c>
      <c r="P139" s="7">
        <f>K111*K112</f>
        <v>5.768786104228704</v>
      </c>
    </row>
    <row r="140" spans="1:3" ht="12.75">
      <c r="A140" s="5" t="s">
        <v>116</v>
      </c>
      <c r="B140" s="12">
        <v>5.76563</v>
      </c>
      <c r="C140" s="12">
        <v>5.31648</v>
      </c>
    </row>
    <row r="141" spans="1:16" ht="12.75">
      <c r="A141" s="28" t="s">
        <v>117</v>
      </c>
      <c r="B141" s="29">
        <v>4.013848</v>
      </c>
      <c r="C141" s="30">
        <v>4.16117</v>
      </c>
      <c r="M141" s="12"/>
      <c r="N141" s="12"/>
      <c r="O141" s="12"/>
      <c r="P141" s="12"/>
    </row>
    <row r="142" spans="1:16" ht="12.75">
      <c r="A142" s="5" t="s">
        <v>118</v>
      </c>
      <c r="B142" s="12">
        <v>5.35256</v>
      </c>
      <c r="C142" s="12">
        <v>4.87202</v>
      </c>
      <c r="M142" s="12"/>
      <c r="N142" s="12"/>
      <c r="O142" s="12"/>
      <c r="P142" s="12"/>
    </row>
    <row r="143" spans="1:16" ht="12.75">
      <c r="A143" s="28" t="s">
        <v>119</v>
      </c>
      <c r="B143" s="33">
        <v>0.48586244140378654</v>
      </c>
      <c r="C143" s="33">
        <v>0.468117714839724</v>
      </c>
      <c r="M143" s="12"/>
      <c r="N143" s="12"/>
      <c r="O143" s="12"/>
      <c r="P143" s="12"/>
    </row>
    <row r="144" spans="1:8" ht="12.75">
      <c r="A144" s="5" t="s">
        <v>120</v>
      </c>
      <c r="B144" s="12">
        <v>3.18772</v>
      </c>
      <c r="C144" s="12">
        <v>3.27225</v>
      </c>
      <c r="H144" s="34">
        <f>((9.6+(2*4.55))/(3*(9.6+4.55)))*28.05</f>
        <v>12.3565371024735</v>
      </c>
    </row>
    <row r="145" spans="1:3" ht="12.75">
      <c r="A145" s="28" t="s">
        <v>118</v>
      </c>
      <c r="B145" s="29">
        <v>4.52643</v>
      </c>
      <c r="C145" s="30">
        <v>3.98311</v>
      </c>
    </row>
    <row r="146" spans="1:3" ht="12.75">
      <c r="A146" s="5" t="s">
        <v>121</v>
      </c>
      <c r="B146" s="13">
        <v>0.3858624414037865</v>
      </c>
      <c r="C146" s="13">
        <v>0.3681177148397236</v>
      </c>
    </row>
    <row r="147" spans="1:3" ht="12.75">
      <c r="A147" s="28" t="s">
        <v>122</v>
      </c>
      <c r="B147" s="29">
        <v>2.77466</v>
      </c>
      <c r="C147" s="30">
        <v>2.8277900000000002</v>
      </c>
    </row>
    <row r="148" spans="1:3" ht="12.75">
      <c r="A148" s="5" t="s">
        <v>118</v>
      </c>
      <c r="B148" s="12">
        <v>4.11337</v>
      </c>
      <c r="C148" s="12">
        <v>3.53865</v>
      </c>
    </row>
    <row r="149" spans="1:3" ht="12.75">
      <c r="A149" s="28" t="s">
        <v>123</v>
      </c>
      <c r="B149" s="33">
        <v>0.3358624414037865</v>
      </c>
      <c r="C149" s="33">
        <v>0.31811771483972356</v>
      </c>
    </row>
    <row r="150" ht="12.75">
      <c r="A150" s="3" t="s">
        <v>124</v>
      </c>
    </row>
    <row r="151" spans="1:3" ht="12.75">
      <c r="A151" s="5" t="s">
        <v>125</v>
      </c>
      <c r="B151" s="12">
        <v>4.32461</v>
      </c>
      <c r="C151" s="12">
        <v>3.80701</v>
      </c>
    </row>
    <row r="152" spans="1:3" ht="12.75">
      <c r="A152" s="28" t="s">
        <v>126</v>
      </c>
      <c r="B152" s="33">
        <v>0.36143203916381483</v>
      </c>
      <c r="C152" s="33">
        <v>0.3483075317839011</v>
      </c>
    </row>
    <row r="153" spans="1:3" ht="12.75">
      <c r="A153" s="5" t="s">
        <v>127</v>
      </c>
      <c r="B153" s="12">
        <v>4.68063</v>
      </c>
      <c r="C153" s="12">
        <v>4.17551</v>
      </c>
    </row>
    <row r="154" spans="1:3" ht="12.75">
      <c r="A154" s="28" t="s">
        <v>128</v>
      </c>
      <c r="B154" s="33">
        <v>0.4045277107259583</v>
      </c>
      <c r="C154" s="33">
        <v>0.3897626399235555</v>
      </c>
    </row>
    <row r="157" spans="1:12" ht="12.75">
      <c r="A157" s="3" t="s">
        <v>129</v>
      </c>
      <c r="B157" s="1" t="s">
        <v>17</v>
      </c>
      <c r="C157" s="1" t="s">
        <v>91</v>
      </c>
      <c r="F157" s="1" t="s">
        <v>90</v>
      </c>
      <c r="G157" s="1" t="s">
        <v>91</v>
      </c>
      <c r="H157" s="1" t="s">
        <v>90</v>
      </c>
      <c r="I157" s="1" t="s">
        <v>91</v>
      </c>
      <c r="J157" s="1" t="s">
        <v>90</v>
      </c>
      <c r="K157" s="1" t="s">
        <v>91</v>
      </c>
      <c r="L157" s="1"/>
    </row>
    <row r="158" spans="1:12" ht="12.75">
      <c r="A158" s="5" t="s">
        <v>107</v>
      </c>
      <c r="B158" s="12">
        <v>3.7037</v>
      </c>
      <c r="C158" s="12">
        <v>3.7037</v>
      </c>
      <c r="F158" s="1" t="s">
        <v>78</v>
      </c>
      <c r="G158" s="1" t="s">
        <v>78</v>
      </c>
      <c r="H158" s="14" t="s">
        <v>3</v>
      </c>
      <c r="I158" s="14" t="s">
        <v>3</v>
      </c>
      <c r="J158" s="1" t="s">
        <v>79</v>
      </c>
      <c r="K158" s="1" t="s">
        <v>79</v>
      </c>
      <c r="L158" s="1"/>
    </row>
    <row r="159" spans="1:12" ht="12.75">
      <c r="A159" s="28" t="s">
        <v>109</v>
      </c>
      <c r="B159" s="29">
        <v>0.22385000000000002</v>
      </c>
      <c r="C159" s="30">
        <v>0.22982000000000002</v>
      </c>
      <c r="E159" s="22" t="s">
        <v>95</v>
      </c>
      <c r="F159" s="23">
        <v>0.31788335253747824</v>
      </c>
      <c r="G159" s="23">
        <v>0.3019387416261918</v>
      </c>
      <c r="H159" s="23">
        <v>0.3858624414037865</v>
      </c>
      <c r="I159" s="23">
        <v>0.3681177148397236</v>
      </c>
      <c r="J159" s="23">
        <v>0.17763643979375668</v>
      </c>
      <c r="K159" s="23">
        <v>0.1797050678234711</v>
      </c>
      <c r="L159" s="1"/>
    </row>
    <row r="160" spans="1:12" ht="12.75">
      <c r="A160" s="5" t="s">
        <v>110</v>
      </c>
      <c r="B160" s="13">
        <v>0.3276364397937567</v>
      </c>
      <c r="C160" s="13">
        <v>0.3297050678234711</v>
      </c>
      <c r="E160" s="3" t="s">
        <v>96</v>
      </c>
      <c r="F160" s="15">
        <v>4.988540320165891</v>
      </c>
      <c r="G160" s="15">
        <v>4.737688675410784</v>
      </c>
      <c r="H160" s="15">
        <v>4.526434319053958</v>
      </c>
      <c r="I160" s="15">
        <v>3.9831079127007576</v>
      </c>
      <c r="J160" s="15">
        <v>2.3980919372157152</v>
      </c>
      <c r="K160" s="15">
        <v>2.4260184156168596</v>
      </c>
      <c r="L160" s="15"/>
    </row>
    <row r="161" spans="1:12" ht="12.75">
      <c r="A161" s="28" t="s">
        <v>112</v>
      </c>
      <c r="B161" s="29">
        <v>4.423091937215715</v>
      </c>
      <c r="C161" s="30">
        <v>4.45102</v>
      </c>
      <c r="E161" s="3" t="s">
        <v>97</v>
      </c>
      <c r="F161" s="24">
        <v>5.129947182738321</v>
      </c>
      <c r="G161" s="24">
        <v>5.129947182738321</v>
      </c>
      <c r="H161" s="24">
        <v>10.56088094626219</v>
      </c>
      <c r="I161" s="24">
        <v>10.56088094626219</v>
      </c>
      <c r="J161" s="24">
        <v>3.7037037037037037</v>
      </c>
      <c r="K161" s="24">
        <v>3.7037037037037037</v>
      </c>
      <c r="L161" s="24"/>
    </row>
    <row r="162" spans="1:12" ht="12.75">
      <c r="A162" s="5" t="s">
        <v>114</v>
      </c>
      <c r="B162" s="12">
        <v>1.048092</v>
      </c>
      <c r="C162" s="12">
        <v>1.84552</v>
      </c>
      <c r="E162" s="3" t="s">
        <v>98</v>
      </c>
      <c r="F162" s="25">
        <v>0.5791000000000001</v>
      </c>
      <c r="G162" s="25">
        <v>0.536724491912205</v>
      </c>
      <c r="H162" s="25">
        <v>0.6342961174914444</v>
      </c>
      <c r="I162" s="25">
        <v>0.5949225953517033</v>
      </c>
      <c r="J162" s="25">
        <v>0.22385486842706898</v>
      </c>
      <c r="K162" s="25">
        <v>0.2298194960767453</v>
      </c>
      <c r="L162" s="25"/>
    </row>
    <row r="163" spans="1:12" ht="12.75">
      <c r="A163" s="28" t="s">
        <v>115</v>
      </c>
      <c r="B163" s="33">
        <v>0.07763643979375667</v>
      </c>
      <c r="C163" s="33">
        <v>0.13670506782347105</v>
      </c>
      <c r="E163" s="26" t="s">
        <v>50</v>
      </c>
      <c r="F163" s="27">
        <v>0.3430343343152372</v>
      </c>
      <c r="G163" s="27">
        <v>0.32890816397073497</v>
      </c>
      <c r="H163" s="27">
        <v>0.36143203916381483</v>
      </c>
      <c r="I163" s="27">
        <v>0.3483075317839011</v>
      </c>
      <c r="J163" s="27">
        <v>0.22461828947568965</v>
      </c>
      <c r="K163" s="27">
        <v>0.16960649869224845</v>
      </c>
      <c r="L163" s="1"/>
    </row>
    <row r="164" spans="1:12" ht="12.75">
      <c r="A164" s="5" t="s">
        <v>116</v>
      </c>
      <c r="B164" s="12">
        <v>4.42309</v>
      </c>
      <c r="C164" s="12">
        <v>4.45102</v>
      </c>
      <c r="E164" s="3" t="s">
        <v>99</v>
      </c>
      <c r="F164" s="15">
        <v>5.287207643265515</v>
      </c>
      <c r="G164" s="15">
        <v>5.082289793857717</v>
      </c>
      <c r="H164" s="15">
        <v>4.324607792339407</v>
      </c>
      <c r="I164" s="15">
        <v>3.807012359672277</v>
      </c>
      <c r="J164" s="15">
        <v>3.03234690792181</v>
      </c>
      <c r="K164" s="15">
        <v>2.289687732345354</v>
      </c>
      <c r="L164" s="15"/>
    </row>
    <row r="165" spans="1:3" ht="12.75">
      <c r="A165" s="28" t="s">
        <v>117</v>
      </c>
      <c r="B165" s="29">
        <v>3.7480919372157153</v>
      </c>
      <c r="C165" s="30">
        <v>3.77602</v>
      </c>
    </row>
    <row r="166" spans="1:3" ht="12.75">
      <c r="A166" s="5" t="s">
        <v>118</v>
      </c>
      <c r="B166" s="12">
        <v>3.74809</v>
      </c>
      <c r="C166" s="12">
        <v>3.77602</v>
      </c>
    </row>
    <row r="167" spans="1:12" ht="12.75">
      <c r="A167" s="28" t="s">
        <v>119</v>
      </c>
      <c r="B167" s="33">
        <v>0.2776364397937567</v>
      </c>
      <c r="C167" s="33">
        <v>0.2797050678234711</v>
      </c>
      <c r="E167" s="3"/>
      <c r="F167" s="15"/>
      <c r="G167" s="15"/>
      <c r="H167" s="15"/>
      <c r="I167" s="15"/>
      <c r="J167" s="15"/>
      <c r="K167" s="15"/>
      <c r="L167" s="15"/>
    </row>
    <row r="168" spans="1:12" ht="12.75">
      <c r="A168" s="5" t="s">
        <v>120</v>
      </c>
      <c r="B168" s="12">
        <v>2.39809</v>
      </c>
      <c r="C168" s="12">
        <v>2.42602</v>
      </c>
      <c r="E168" s="3"/>
      <c r="F168" s="15"/>
      <c r="G168" s="15"/>
      <c r="H168" s="15"/>
      <c r="I168" s="15"/>
      <c r="J168" s="15"/>
      <c r="K168" s="15"/>
      <c r="L168" s="15"/>
    </row>
    <row r="169" spans="1:3" ht="12.75">
      <c r="A169" s="28" t="s">
        <v>118</v>
      </c>
      <c r="B169" s="29">
        <v>2.3980919372157152</v>
      </c>
      <c r="C169" s="30">
        <v>2.42602</v>
      </c>
    </row>
    <row r="170" spans="1:3" ht="12.75">
      <c r="A170" s="5" t="s">
        <v>121</v>
      </c>
      <c r="B170" s="13">
        <v>0.17763643979375668</v>
      </c>
      <c r="C170" s="13">
        <v>0.1797050678234711</v>
      </c>
    </row>
    <row r="171" spans="1:3" ht="12.75">
      <c r="A171" s="28" t="s">
        <v>122</v>
      </c>
      <c r="B171" s="29">
        <v>1.723091937215715</v>
      </c>
      <c r="C171" s="30">
        <v>1.75102</v>
      </c>
    </row>
    <row r="172" spans="1:3" ht="12.75">
      <c r="A172" s="5" t="s">
        <v>118</v>
      </c>
      <c r="B172" s="12">
        <v>1.72309</v>
      </c>
      <c r="C172" s="12">
        <v>1.75102</v>
      </c>
    </row>
    <row r="173" spans="1:3" ht="12.75">
      <c r="A173" s="28" t="s">
        <v>123</v>
      </c>
      <c r="B173" s="33">
        <v>0.12763643979375666</v>
      </c>
      <c r="C173" s="33">
        <v>0.12970506782347105</v>
      </c>
    </row>
    <row r="174" ht="12.75">
      <c r="A174" s="3" t="s">
        <v>124</v>
      </c>
    </row>
    <row r="175" spans="1:3" ht="12.75">
      <c r="A175" s="5" t="s">
        <v>125</v>
      </c>
      <c r="B175" s="12">
        <v>3.03235</v>
      </c>
      <c r="C175" s="12">
        <v>2.2896900000000002</v>
      </c>
    </row>
    <row r="176" spans="1:3" ht="12.75">
      <c r="A176" s="28" t="s">
        <v>126</v>
      </c>
      <c r="B176" s="33">
        <v>0.22461828947568965</v>
      </c>
      <c r="C176" s="33">
        <v>0.16960649869224845</v>
      </c>
    </row>
    <row r="177" spans="1:3" ht="12.75">
      <c r="A177" s="5" t="s">
        <v>127</v>
      </c>
      <c r="B177" s="12">
        <v>3.38327</v>
      </c>
      <c r="C177" s="12">
        <v>3.41346</v>
      </c>
    </row>
    <row r="178" spans="1:3" ht="12.75">
      <c r="A178" s="28" t="s">
        <v>128</v>
      </c>
      <c r="B178" s="33">
        <v>0.2506122423268175</v>
      </c>
      <c r="C178" s="33">
        <v>0.2528489776954462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Myers</dc:creator>
  <cp:keywords/>
  <dc:description/>
  <cp:lastModifiedBy>Ken Myers</cp:lastModifiedBy>
  <dcterms:created xsi:type="dcterms:W3CDTF">2013-11-13T11:55:50Z</dcterms:created>
  <dcterms:modified xsi:type="dcterms:W3CDTF">2014-03-14T15:42:03Z</dcterms:modified>
  <cp:category/>
  <cp:version/>
  <cp:contentType/>
  <cp:contentStatus/>
  <cp:revision>152</cp:revision>
</cp:coreProperties>
</file>