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2"/>
  </bookViews>
  <sheets>
    <sheet name="Raw Data" sheetId="1" r:id="rId1"/>
    <sheet name="Avg. Data" sheetId="2" r:id="rId2"/>
    <sheet name="cells" sheetId="3" r:id="rId3"/>
    <sheet name="Proofs" sheetId="4" r:id="rId4"/>
    <sheet name="weight" sheetId="5" r:id="rId5"/>
    <sheet name="Kv" sheetId="6" r:id="rId6"/>
    <sheet name="best ^" sheetId="7" r:id="rId7"/>
    <sheet name="Cobra-A123" sheetId="8" r:id="rId8"/>
  </sheets>
  <definedNames/>
  <calcPr fullCalcOnLoad="1"/>
</workbook>
</file>

<file path=xl/sharedStrings.xml><?xml version="1.0" encoding="utf-8"?>
<sst xmlns="http://schemas.openxmlformats.org/spreadsheetml/2006/main" count="10957" uniqueCount="591">
  <si>
    <t>Motor</t>
  </si>
  <si>
    <t>Prop</t>
  </si>
  <si>
    <t>(3S/2S)^1.5</t>
  </si>
  <si>
    <t>3S amps</t>
  </si>
  <si>
    <t>2S amps</t>
  </si>
  <si>
    <t>% error</t>
  </si>
  <si>
    <t>Raw diff.</t>
  </si>
  <si>
    <t>Kv</t>
  </si>
  <si>
    <t>Wt.</t>
  </si>
  <si>
    <t>Cobra C2204/32</t>
  </si>
  <si>
    <t>GWS 7x3.5-DD</t>
  </si>
  <si>
    <t>22.4g</t>
  </si>
  <si>
    <t>GWS 6x3x3-DD</t>
  </si>
  <si>
    <t>6x4E</t>
  </si>
  <si>
    <t>Average:</t>
  </si>
  <si>
    <t>(3S/2S)^2</t>
  </si>
  <si>
    <t>(3S/2S)^1.47</t>
  </si>
  <si>
    <t>Cobra C2204/40</t>
  </si>
  <si>
    <t>GWS 7x3.5x3-DD</t>
  </si>
  <si>
    <t>22.5g</t>
  </si>
  <si>
    <t>7x3.5-DD</t>
  </si>
  <si>
    <t>7x4SF</t>
  </si>
  <si>
    <t>6x5.5E</t>
  </si>
  <si>
    <t>(3S/2S)^1.34</t>
  </si>
  <si>
    <t>Cobra C2204/58</t>
  </si>
  <si>
    <t>GWS 9x5-DD</t>
  </si>
  <si>
    <t>GWS 8x4.3-SF</t>
  </si>
  <si>
    <t>GWS 8x4x3-DD</t>
  </si>
  <si>
    <t>8x3.8SF</t>
  </si>
  <si>
    <t>(3S/2S)^1.27</t>
  </si>
  <si>
    <t>Scorpion SII-2205-1900</t>
  </si>
  <si>
    <t>35.4g</t>
  </si>
  <si>
    <t>GWS 6x3-DD</t>
  </si>
  <si>
    <t>(3S/2S)^1.24</t>
  </si>
  <si>
    <t>Scorpion SII-2205-1585</t>
  </si>
  <si>
    <t>7x4E</t>
  </si>
  <si>
    <t>5.5x4.5E</t>
  </si>
  <si>
    <t>(3S/2S)^1.28</t>
  </si>
  <si>
    <t>Scorpion SII-2205-1490</t>
  </si>
  <si>
    <t>MAS 7x4x3</t>
  </si>
  <si>
    <t>GWS 8x4-DD</t>
  </si>
  <si>
    <t>7x5SF</t>
  </si>
  <si>
    <t>7x5E</t>
  </si>
  <si>
    <t>Scorpion SII-2208-1280</t>
  </si>
  <si>
    <t>MAS 9x7x3</t>
  </si>
  <si>
    <t>45g</t>
  </si>
  <si>
    <t>MAS 8x6x3</t>
  </si>
  <si>
    <t>GWS 9x5x3-DD</t>
  </si>
  <si>
    <t>9x4.7SF</t>
  </si>
  <si>
    <t>9x3.8SF</t>
  </si>
  <si>
    <t>8x8E</t>
  </si>
  <si>
    <t>8x4E</t>
  </si>
  <si>
    <t>8x6E</t>
  </si>
  <si>
    <t>8x6SF</t>
  </si>
  <si>
    <t>Scorpion SII-2208-1100</t>
  </si>
  <si>
    <t>GWS 10x6x3-DD</t>
  </si>
  <si>
    <t>GWS 10x6-DD</t>
  </si>
  <si>
    <t>GWS 9x7.5-DD</t>
  </si>
  <si>
    <t>GEM 9x4.7-C</t>
  </si>
  <si>
    <t>GEM 8x4.5-C</t>
  </si>
  <si>
    <t>9x6SF</t>
  </si>
  <si>
    <t>(3S/2S)^1.49</t>
  </si>
  <si>
    <t>Cobra C2208/20</t>
  </si>
  <si>
    <t>46.5g</t>
  </si>
  <si>
    <t>(3S/2S)^1.46</t>
  </si>
  <si>
    <t>Cobra C2208/26</t>
  </si>
  <si>
    <t>7x6SF</t>
  </si>
  <si>
    <t>7x6E</t>
  </si>
  <si>
    <t>(3S/2S)^1.35</t>
  </si>
  <si>
    <t>Cobra C2208/34</t>
  </si>
  <si>
    <t>47g</t>
  </si>
  <si>
    <t>9x4.5E</t>
  </si>
  <si>
    <t>4S/3S^1.43</t>
  </si>
  <si>
    <t>4S amps</t>
  </si>
  <si>
    <t>4S/3S^2</t>
  </si>
  <si>
    <t>(3S/2S)^1.38</t>
  </si>
  <si>
    <t>Scorpion SII-2212-1850</t>
  </si>
  <si>
    <t>58g</t>
  </si>
  <si>
    <t>(3S/2S)^1.42</t>
  </si>
  <si>
    <t>Scorpion SII-2212-1070</t>
  </si>
  <si>
    <t>GWS 8x4-3-DD</t>
  </si>
  <si>
    <t>GEM 10x4.5</t>
  </si>
  <si>
    <t>GEM 8x4.5</t>
  </si>
  <si>
    <t>9x7.5E</t>
  </si>
  <si>
    <t>9x6E</t>
  </si>
  <si>
    <t>Scorpion SII-2212-960</t>
  </si>
  <si>
    <t>GWS 9x7.5-HD</t>
  </si>
  <si>
    <t>10x3.8SF</t>
  </si>
  <si>
    <t>4S/3S^1.46</t>
  </si>
  <si>
    <t>(3S/2S)^1.32</t>
  </si>
  <si>
    <t>Scorpion SII-2212-885</t>
  </si>
  <si>
    <t>MAS 11x7x3</t>
  </si>
  <si>
    <t>MAS 10x7x3</t>
  </si>
  <si>
    <t>MAS 10x5x3</t>
  </si>
  <si>
    <t>GEM 12x4.5-C</t>
  </si>
  <si>
    <t>GEM 11x4.7-C</t>
  </si>
  <si>
    <t>13x4E</t>
  </si>
  <si>
    <t>11x7E</t>
  </si>
  <si>
    <t>11x5.5E</t>
  </si>
  <si>
    <t>11x4.7SF</t>
  </si>
  <si>
    <t>11x3.8SF</t>
  </si>
  <si>
    <t>10x10E</t>
  </si>
  <si>
    <t>10x7SF</t>
  </si>
  <si>
    <t>10x7E</t>
  </si>
  <si>
    <t>10x6E</t>
  </si>
  <si>
    <t>10x5E</t>
  </si>
  <si>
    <t>10x4.7SF</t>
  </si>
  <si>
    <t>9x9E</t>
  </si>
  <si>
    <t>9x7.5SF</t>
  </si>
  <si>
    <t>4S/3S^1.37</t>
  </si>
  <si>
    <t>(3S/2S)^1.52</t>
  </si>
  <si>
    <t>Cobra C2213/12</t>
  </si>
  <si>
    <t>60g</t>
  </si>
  <si>
    <t>4S/3S^1.56</t>
  </si>
  <si>
    <t>5.25x4.75E</t>
  </si>
  <si>
    <t>5x5E</t>
  </si>
  <si>
    <t>Cobra C2213/18</t>
  </si>
  <si>
    <t>61g</t>
  </si>
  <si>
    <t>4S/3S^1.62</t>
  </si>
  <si>
    <t>Cobra C2213/22</t>
  </si>
  <si>
    <t>(3S/2S)^1.36</t>
  </si>
  <si>
    <t>Cobra C2213/26</t>
  </si>
  <si>
    <t>11x8E</t>
  </si>
  <si>
    <t>4S/3S^1.44</t>
  </si>
  <si>
    <t>Scorpion SII-2215-1810</t>
  </si>
  <si>
    <t>68.8g</t>
  </si>
  <si>
    <t>Scorpion SII-2215-1127</t>
  </si>
  <si>
    <t>GEM 10x4.5-C</t>
  </si>
  <si>
    <t>(3S/2S)^1.43</t>
  </si>
  <si>
    <t>Scorpion SII-2215-900</t>
  </si>
  <si>
    <t>GWS 12x8-DD</t>
  </si>
  <si>
    <t>GWS 11x7-DD</t>
  </si>
  <si>
    <t>GWS 11x4.7SF</t>
  </si>
  <si>
    <t>GWS 10x8-HD</t>
  </si>
  <si>
    <t>4S/3S^1.45</t>
  </si>
  <si>
    <t>(3S/2S)^1.63</t>
  </si>
  <si>
    <t>Cobra C2217/8</t>
  </si>
  <si>
    <t>74g</t>
  </si>
  <si>
    <t>4S/3S^1.55</t>
  </si>
  <si>
    <t>(3S/2S)^1.51</t>
  </si>
  <si>
    <t>Cobra C2217/12</t>
  </si>
  <si>
    <t>4S/3S^1.6</t>
  </si>
  <si>
    <t>(3S/2S)^1.41</t>
  </si>
  <si>
    <t>Cobra C2217/16</t>
  </si>
  <si>
    <t>73g</t>
  </si>
  <si>
    <t>4S/3S^1.5</t>
  </si>
  <si>
    <t>(3S/2S)^1.45</t>
  </si>
  <si>
    <t>Cobra C2217/20</t>
  </si>
  <si>
    <t>12x6E</t>
  </si>
  <si>
    <t>72g</t>
  </si>
  <si>
    <t>12x3.8SF</t>
  </si>
  <si>
    <t>(8S/7S)^1.5</t>
  </si>
  <si>
    <t>8 Ni amps</t>
  </si>
  <si>
    <t>7 Ni amps</t>
  </si>
  <si>
    <t>AXI 2808/20</t>
  </si>
  <si>
    <t>8x4.5 Gr Folder</t>
  </si>
  <si>
    <t>76g</t>
  </si>
  <si>
    <t>8.5x5 Aero Glass</t>
  </si>
  <si>
    <t>8.5x6 Aero Glass</t>
  </si>
  <si>
    <t>9x5 Gr Folder</t>
  </si>
  <si>
    <t>9.5x5 Aero Cam</t>
  </si>
  <si>
    <t>10x6 Aero Cam</t>
  </si>
  <si>
    <t>(8S/7S)^2</t>
  </si>
  <si>
    <t>Actual^1.5</t>
  </si>
  <si>
    <t>Actual voltage</t>
  </si>
  <si>
    <t>NiCads</t>
  </si>
  <si>
    <t>Actual^2</t>
  </si>
  <si>
    <t>(10S/8S)^1.3</t>
  </si>
  <si>
    <t>10 Ni amps</t>
  </si>
  <si>
    <t>(10S/8S)^2</t>
  </si>
  <si>
    <t>Actual^1.51</t>
  </si>
  <si>
    <t>4S/3S^1.66</t>
  </si>
  <si>
    <t>Cobra C2808/22</t>
  </si>
  <si>
    <t>80.5g</t>
  </si>
  <si>
    <t>Cobra C2808/26</t>
  </si>
  <si>
    <t>4S/3S^1.52</t>
  </si>
  <si>
    <t>Cobra C2808/30</t>
  </si>
  <si>
    <t>(3S/2S)^1.54</t>
  </si>
  <si>
    <t>Cobra C-2221-8</t>
  </si>
  <si>
    <t>88g</t>
  </si>
  <si>
    <t>4S/3S^1.58</t>
  </si>
  <si>
    <t>4S/3S^1.65</t>
  </si>
  <si>
    <t>Cobra C-2221/10</t>
  </si>
  <si>
    <t>Median:</t>
  </si>
  <si>
    <t>4S/3S^1.33</t>
  </si>
  <si>
    <t>Cobra C-2221-12</t>
  </si>
  <si>
    <t>4S/3S^1.47</t>
  </si>
  <si>
    <t>Cobra C-2221-16</t>
  </si>
  <si>
    <t>4S/3S^1.61</t>
  </si>
  <si>
    <t>Scorpion SII-3008-1220</t>
  </si>
  <si>
    <t>95g</t>
  </si>
  <si>
    <t>Scorpion SII-3008-1090</t>
  </si>
  <si>
    <t>7S/6S^1.25</t>
  </si>
  <si>
    <t>7S amps</t>
  </si>
  <si>
    <t>6S amps</t>
  </si>
  <si>
    <t>AXI 2814/10</t>
  </si>
  <si>
    <t>9.5x5 Aero</t>
  </si>
  <si>
    <t>106g</t>
  </si>
  <si>
    <t>NiXX battery</t>
  </si>
  <si>
    <t>10x6 Aero</t>
  </si>
  <si>
    <t>10.5x7 Aero</t>
  </si>
  <si>
    <t>10.5x8 Aero</t>
  </si>
  <si>
    <t>12x6.5 Aero</t>
  </si>
  <si>
    <t>7S/6S^2</t>
  </si>
  <si>
    <t>Actual^1.3</t>
  </si>
  <si>
    <t>8S/7S^1.5</t>
  </si>
  <si>
    <t>8S amps</t>
  </si>
  <si>
    <t>8.5x6 Aero</t>
  </si>
  <si>
    <t>8S/7S^2</t>
  </si>
  <si>
    <t>Actual^1.2</t>
  </si>
  <si>
    <t>4S/3S^1.86</t>
  </si>
  <si>
    <t>Cobra C2814/10</t>
  </si>
  <si>
    <t>109g</t>
  </si>
  <si>
    <t>4S/3S^1.8</t>
  </si>
  <si>
    <t>Cobra C2814/12</t>
  </si>
  <si>
    <t>4S/3S^1.7</t>
  </si>
  <si>
    <t>Cobra C2814/16</t>
  </si>
  <si>
    <t>5S/4S^1.81</t>
  </si>
  <si>
    <t>5S amps</t>
  </si>
  <si>
    <t>5S/4S^2</t>
  </si>
  <si>
    <t>Cobra C2814/20</t>
  </si>
  <si>
    <t>5S/4S^1.72</t>
  </si>
  <si>
    <t>4S/3S^1.82</t>
  </si>
  <si>
    <t>Scorpion SII-3014-1220</t>
  </si>
  <si>
    <t>129g</t>
  </si>
  <si>
    <t>4S/3S^1.81</t>
  </si>
  <si>
    <t>Scorpion SII-3014-1040</t>
  </si>
  <si>
    <t>Scorpion SII-3014-830</t>
  </si>
  <si>
    <t>4S/3S^1.78</t>
  </si>
  <si>
    <t>Cobra C2820/8</t>
  </si>
  <si>
    <t>139g</t>
  </si>
  <si>
    <t>5S/4S^1.96</t>
  </si>
  <si>
    <t>4S/3S^1.79</t>
  </si>
  <si>
    <t>Cobra C2820/10</t>
  </si>
  <si>
    <t>142g</t>
  </si>
  <si>
    <t>5S/4S^1.82</t>
  </si>
  <si>
    <t>Cobra C2820/12</t>
  </si>
  <si>
    <t>138g</t>
  </si>
  <si>
    <t>5S/4S^1.83</t>
  </si>
  <si>
    <t>4S/3S^1.59</t>
  </si>
  <si>
    <t>Cobra C2820/14</t>
  </si>
  <si>
    <t>140g</t>
  </si>
  <si>
    <t>12x8E</t>
  </si>
  <si>
    <t>11x10E</t>
  </si>
  <si>
    <t>11x8.5E</t>
  </si>
  <si>
    <t>5S/4S^1.73</t>
  </si>
  <si>
    <t>6S/5S^1.88</t>
  </si>
  <si>
    <t>6S/5S^2</t>
  </si>
  <si>
    <t>Cobra C3510/16</t>
  </si>
  <si>
    <t>141g</t>
  </si>
  <si>
    <t>5S/4S^1.67</t>
  </si>
  <si>
    <t>4S/3S^1.53</t>
  </si>
  <si>
    <t>Cobra C3510/20</t>
  </si>
  <si>
    <t>5S/4S^1.63</t>
  </si>
  <si>
    <t>4S/3S^1.51</t>
  </si>
  <si>
    <t>Cobra C3510/24</t>
  </si>
  <si>
    <t>5S/4S^1.58</t>
  </si>
  <si>
    <t>8S/7S^1.51</t>
  </si>
  <si>
    <t>8Ni amps</t>
  </si>
  <si>
    <t>7Ni amps</t>
  </si>
  <si>
    <t>AXI 2820/10</t>
  </si>
  <si>
    <t>10x5 sport</t>
  </si>
  <si>
    <t>151g</t>
  </si>
  <si>
    <t>These are NiXX cells</t>
  </si>
  <si>
    <t>11x6 sport</t>
  </si>
  <si>
    <t>11x7 Slim</t>
  </si>
  <si>
    <t>10S/8S^1.2</t>
  </si>
  <si>
    <t>10S/8S^2</t>
  </si>
  <si>
    <t>4S/3S^1.85</t>
  </si>
  <si>
    <t>Scorpion SII-3020-1110</t>
  </si>
  <si>
    <t>166g</t>
  </si>
  <si>
    <t>Scorpion SII-3020-890</t>
  </si>
  <si>
    <t>Scorpion SII-3020-780</t>
  </si>
  <si>
    <t>5S/4S^1.84</t>
  </si>
  <si>
    <t>Cobra C2826/6</t>
  </si>
  <si>
    <t>APC 9x4.5E</t>
  </si>
  <si>
    <t>171g</t>
  </si>
  <si>
    <t>Cobra C2826/8</t>
  </si>
  <si>
    <t>5S/4S^1.9</t>
  </si>
  <si>
    <t>Cobra C2826/10</t>
  </si>
  <si>
    <t>5S/4S^1.68</t>
  </si>
  <si>
    <t>6S/5S^1.83</t>
  </si>
  <si>
    <t>Cobra C2826/12</t>
  </si>
  <si>
    <t>15x6E</t>
  </si>
  <si>
    <t>14x7E</t>
  </si>
  <si>
    <t>13x10E</t>
  </si>
  <si>
    <t>13x8E</t>
  </si>
  <si>
    <t>12x10E</t>
  </si>
  <si>
    <t>15x4E</t>
  </si>
  <si>
    <t>13x6.5E</t>
  </si>
  <si>
    <t>5S/4S^1.69</t>
  </si>
  <si>
    <t>6S/5S^1.79</t>
  </si>
  <si>
    <t>C3515/12</t>
  </si>
  <si>
    <t>178g</t>
  </si>
  <si>
    <t>5S/4S^1.62</t>
  </si>
  <si>
    <t>Cobra C3515/12</t>
  </si>
  <si>
    <t>Cobra C3515/14</t>
  </si>
  <si>
    <t>6S/5S^1.7</t>
  </si>
  <si>
    <t>Cobra C3515/18</t>
  </si>
  <si>
    <t>MAS 12x6x3</t>
  </si>
  <si>
    <t>MAS 12x8x3</t>
  </si>
  <si>
    <t>MAS 11x8x3</t>
  </si>
  <si>
    <t>5S/4S^1.55</t>
  </si>
  <si>
    <t>6S/5S^1.63</t>
  </si>
  <si>
    <t>Scorpion SII-3026-890</t>
  </si>
  <si>
    <t>205g</t>
  </si>
  <si>
    <t>4S/3S^1.67</t>
  </si>
  <si>
    <t>Scorpion SII-3026-710</t>
  </si>
  <si>
    <t>12x12E</t>
  </si>
  <si>
    <t>Cobra C3520/10</t>
  </si>
  <si>
    <t>210g</t>
  </si>
  <si>
    <t>Cobra C3520/12</t>
  </si>
  <si>
    <t>MAS 13x8x3</t>
  </si>
  <si>
    <t>216g</t>
  </si>
  <si>
    <t>5S/4S^1.6</t>
  </si>
  <si>
    <t>Cobra C3520/14</t>
  </si>
  <si>
    <t>MAS 14x7x3</t>
  </si>
  <si>
    <t>15x8E</t>
  </si>
  <si>
    <t>14x12E</t>
  </si>
  <si>
    <t>14x10E</t>
  </si>
  <si>
    <t>14x8.5E</t>
  </si>
  <si>
    <t>5S/4S^1.59</t>
  </si>
  <si>
    <t>6S/5S^1.67</t>
  </si>
  <si>
    <t>Cobra C3520/18</t>
  </si>
  <si>
    <t>6S/5S^1.6</t>
  </si>
  <si>
    <t>4S/3S^1.57</t>
  </si>
  <si>
    <t>Cobra C3525/10</t>
  </si>
  <si>
    <t>6S/5S^1.68</t>
  </si>
  <si>
    <t>Cobra C-3525/10</t>
  </si>
  <si>
    <t>Cobra C-3525/12</t>
  </si>
  <si>
    <t>253g</t>
  </si>
  <si>
    <t>6S/5S^1.61</t>
  </si>
  <si>
    <t>5S/4S^1.57</t>
  </si>
  <si>
    <t>Cobra C3525/14</t>
  </si>
  <si>
    <t>MAS 14x9x3</t>
  </si>
  <si>
    <t>15x10E</t>
  </si>
  <si>
    <t>6S/5S^1.64</t>
  </si>
  <si>
    <t>5S/4S^1.49</t>
  </si>
  <si>
    <t>Cobra C3525/18</t>
  </si>
  <si>
    <t>MAS 16x10x3</t>
  </si>
  <si>
    <t>MAS 16x8x3</t>
  </si>
  <si>
    <t>MAS 15x7x3</t>
  </si>
  <si>
    <t>18x8E</t>
  </si>
  <si>
    <t>17x10E</t>
  </si>
  <si>
    <t>17x8E</t>
  </si>
  <si>
    <t>16x10E</t>
  </si>
  <si>
    <t>16x8E</t>
  </si>
  <si>
    <t>6S/5S^1.54</t>
  </si>
  <si>
    <t>8S/6S^1.65</t>
  </si>
  <si>
    <t>8S/6S^2</t>
  </si>
  <si>
    <t>5S/4S^1.79</t>
  </si>
  <si>
    <t>Scorpion SII-4020-630</t>
  </si>
  <si>
    <t>288g</t>
  </si>
  <si>
    <t>6S/5S^1.78</t>
  </si>
  <si>
    <t>5S/4S^1.71</t>
  </si>
  <si>
    <t>Scorpion SII-4020-540</t>
  </si>
  <si>
    <t>6S/5S^1.8</t>
  </si>
  <si>
    <t>5S/4S^1.61</t>
  </si>
  <si>
    <t>Scorpion SII-4020-420</t>
  </si>
  <si>
    <t>20x10E</t>
  </si>
  <si>
    <t>20x8E</t>
  </si>
  <si>
    <t>19x10E</t>
  </si>
  <si>
    <t>19x8E</t>
  </si>
  <si>
    <t>18x12E</t>
  </si>
  <si>
    <t>18x10E</t>
  </si>
  <si>
    <t>17x12E</t>
  </si>
  <si>
    <t>16x12E</t>
  </si>
  <si>
    <t>6S/5S^1.69</t>
  </si>
  <si>
    <t>4S/3S^1.73</t>
  </si>
  <si>
    <t>Cobra C4120/12</t>
  </si>
  <si>
    <t>293g</t>
  </si>
  <si>
    <t>5S/4S^1.77</t>
  </si>
  <si>
    <t>Cobra C-4120/14</t>
  </si>
  <si>
    <t>6S/5S^1.77</t>
  </si>
  <si>
    <t>5S/4S^1.74</t>
  </si>
  <si>
    <t>Cobra C4120/16</t>
  </si>
  <si>
    <t>290g</t>
  </si>
  <si>
    <t>Cobra C4120/18</t>
  </si>
  <si>
    <t>6S/5S^1.72</t>
  </si>
  <si>
    <t>8S/6S^1.85</t>
  </si>
  <si>
    <t>5S/4S^1.65</t>
  </si>
  <si>
    <t>Cobra C4120/22</t>
  </si>
  <si>
    <t>8S/6S^1.82</t>
  </si>
  <si>
    <t>6S/5S^1.73</t>
  </si>
  <si>
    <t>Scorpion SII-4025-520</t>
  </si>
  <si>
    <t>353g</t>
  </si>
  <si>
    <t>6S/5S^1.66</t>
  </si>
  <si>
    <t>Scorpion SII-4025-440</t>
  </si>
  <si>
    <t>7S/6S^1.81</t>
  </si>
  <si>
    <t>Cobra C4130/12</t>
  </si>
  <si>
    <t>398g</t>
  </si>
  <si>
    <t>8S/6S^1.78</t>
  </si>
  <si>
    <t>Cobra C4130/14</t>
  </si>
  <si>
    <t>400g</t>
  </si>
  <si>
    <t>8S/6S^1.74</t>
  </si>
  <si>
    <t>6S/5S^1.59</t>
  </si>
  <si>
    <t>Cobra C4130/16</t>
  </si>
  <si>
    <t>396g</t>
  </si>
  <si>
    <t>8S/6S^1.71</t>
  </si>
  <si>
    <t>8S/6S^1.61</t>
  </si>
  <si>
    <t>Cobra C4130/20</t>
  </si>
  <si>
    <t>10S/8S^1.75</t>
  </si>
  <si>
    <t>10S amps</t>
  </si>
  <si>
    <t>24S/20S^1.4</t>
  </si>
  <si>
    <t>24 NI amps</t>
  </si>
  <si>
    <t>20 Ni amps</t>
  </si>
  <si>
    <t>AXI 4130/16</t>
  </si>
  <si>
    <t>13x11 Aero Cam</t>
  </si>
  <si>
    <t>409g</t>
  </si>
  <si>
    <t>Using NiXX cells</t>
  </si>
  <si>
    <t>14x8 Aero Cam</t>
  </si>
  <si>
    <t>14x10 Aero Cam</t>
  </si>
  <si>
    <t>24S/20S^2</t>
  </si>
  <si>
    <t>Using actual voltage as reported by Model Motors</t>
  </si>
  <si>
    <t>Actual ^1.77</t>
  </si>
  <si>
    <t>Actual ^2</t>
  </si>
  <si>
    <t>24S/20S^1.5</t>
  </si>
  <si>
    <t>AXI 4130/20</t>
  </si>
  <si>
    <t>16x8 Aero Cam</t>
  </si>
  <si>
    <t>16x10 Aero Cam</t>
  </si>
  <si>
    <t>17x9 Gr Cam</t>
  </si>
  <si>
    <t>Actual ^1.74</t>
  </si>
  <si>
    <t>30S/24S^1.5</t>
  </si>
  <si>
    <t>30 NI amps</t>
  </si>
  <si>
    <t>24 Ni amps</t>
  </si>
  <si>
    <t>30S/24S^2</t>
  </si>
  <si>
    <t>Actual ^1.65</t>
  </si>
  <si>
    <t>Avg. best ^</t>
  </si>
  <si>
    <t>Avg. best %</t>
  </si>
  <si>
    <t>Avg. ^2 %</t>
  </si>
  <si>
    <t>cell change</t>
  </si>
  <si>
    <t>2 to 3</t>
  </si>
  <si>
    <t>3 to 4</t>
  </si>
  <si>
    <t>7 to 8 Nicads</t>
  </si>
  <si>
    <t>10 to 8 Nicads</t>
  </si>
  <si>
    <t>6 to 7 Nicad</t>
  </si>
  <si>
    <t>4 to 5</t>
  </si>
  <si>
    <t>5 to 6</t>
  </si>
  <si>
    <t>6 to 8</t>
  </si>
  <si>
    <t>6 to 7</t>
  </si>
  <si>
    <t>8 to 10</t>
  </si>
  <si>
    <t>20 to 24</t>
  </si>
  <si>
    <t>30 to 24</t>
  </si>
  <si>
    <t>Average</t>
  </si>
  <si>
    <t>Median</t>
  </si>
  <si>
    <t>The AXI motors come out as expected</t>
  </si>
  <si>
    <t>Resistance</t>
  </si>
  <si>
    <t>V-drop 8.5A</t>
  </si>
  <si>
    <t>V-drop 14.9A</t>
  </si>
  <si>
    <t>% at 11.1V</t>
  </si>
  <si>
    <t>Cells</t>
  </si>
  <si>
    <t>Wt. Range</t>
  </si>
  <si>
    <t>Wt. Median</t>
  </si>
  <si>
    <t>Wt. Avg.</t>
  </si>
  <si>
    <t>22.4g to 88g</t>
  </si>
  <si>
    <t>54.3g</t>
  </si>
  <si>
    <t>47g to 293g</t>
  </si>
  <si>
    <t>109g to 293g</t>
  </si>
  <si>
    <t>192g</t>
  </si>
  <si>
    <t>140g to 400g</t>
  </si>
  <si>
    <t>270g</t>
  </si>
  <si>
    <t>253g to 400g</t>
  </si>
  <si>
    <t>346g</t>
  </si>
  <si>
    <t>*no range</t>
  </si>
  <si>
    <t>Factor</t>
  </si>
  <si>
    <t>Without AXI</t>
  </si>
  <si>
    <t>7 to 8</t>
  </si>
  <si>
    <t>8 to 9</t>
  </si>
  <si>
    <t>9 to 10</t>
  </si>
  <si>
    <t>close enough</t>
  </si>
  <si>
    <t>Proof of 6 to 8 and 8 to 10 using 25 amps</t>
  </si>
  <si>
    <t xml:space="preserve">These look close enough to be correct </t>
  </si>
  <si>
    <t>V-drop 45A</t>
  </si>
  <si>
    <t>V-drop 53.6A</t>
  </si>
  <si>
    <t>% new Volts</t>
  </si>
  <si>
    <t>½ max amps</t>
  </si>
  <si>
    <t>minutes</t>
  </si>
  <si>
    <t>amp minutes</t>
  </si>
  <si>
    <t>used capacity</t>
  </si>
  <si>
    <t>actual capacity</t>
  </si>
  <si>
    <t>Drive Calculator numbers looking to see whether weight or cell count is closer to DC prediction</t>
  </si>
  <si>
    <t>Wt. (g)</t>
  </si>
  <si>
    <t>low volts</t>
  </si>
  <si>
    <t>low amps</t>
  </si>
  <si>
    <t>high volts</t>
  </si>
  <si>
    <t>high amps</t>
  </si>
  <si>
    <t>amp predict</t>
  </si>
  <si>
    <t>cell error</t>
  </si>
  <si>
    <t>Raw</t>
  </si>
  <si>
    <t>Amp ^2</t>
  </si>
  <si>
    <t>sq. error</t>
  </si>
  <si>
    <t>MicroDAN 2505-3D (production specs)</t>
  </si>
  <si>
    <t>E-Max Professional CF 8x5</t>
  </si>
  <si>
    <t>Scorpion S-2205-36T 1750Kv</t>
  </si>
  <si>
    <t>EMP 5x5</t>
  </si>
  <si>
    <t>Turnigy TR2205/50</t>
  </si>
  <si>
    <t>GWS HD 3-blade 7x3.5</t>
  </si>
  <si>
    <t>AXI 2808-16</t>
  </si>
  <si>
    <t>Aeronaut E-prop 6x5</t>
  </si>
  <si>
    <t>PA Thrust 20 (Precision Aerobatics)</t>
  </si>
  <si>
    <t>Aeronaut E-prop 10x6</t>
  </si>
  <si>
    <t>Mega ACn 16/15/4</t>
  </si>
  <si>
    <t>Graupner Speed 5.5x5.5</t>
  </si>
  <si>
    <t>This is to verify 8 to 9 cells, 9 to ten cells and 8 to 10 cells, which I based on a guesstimate.</t>
  </si>
  <si>
    <t>Using 29.6 for 8S and 33.3 for 9S</t>
  </si>
  <si>
    <t xml:space="preserve">Cobra C-4130/20 Kv 300 </t>
  </si>
  <si>
    <t>Em E-Prop (Metts) 14x8</t>
  </si>
  <si>
    <t>Using 9S volts and amps from above to go to 10S</t>
  </si>
  <si>
    <t>This is using the 8S to 10S factor</t>
  </si>
  <si>
    <t>This is to verify 6 to 7 cells, 7 to 8 cells and 8 to 10 cells, which I based on a guesstimate.</t>
  </si>
  <si>
    <t>Using 22.2 for 6S and 25.9 for 7S</t>
  </si>
  <si>
    <t>Scorpion S4020-14</t>
  </si>
  <si>
    <t>APC 12x9 Pattern</t>
  </si>
  <si>
    <t>Using 7S volts and amps from above to go to 8S</t>
  </si>
  <si>
    <t>This is using the 6S to 8S factor</t>
  </si>
  <si>
    <t>With the heavier, more efficient motors, the cell count/voltage change squared is not too bad.</t>
  </si>
  <si>
    <t>Change wt to about 250g</t>
  </si>
  <si>
    <t>TowerPro 3520-7 timing 1 deg</t>
  </si>
  <si>
    <t>APC 11x8 sport</t>
  </si>
  <si>
    <t>Again, squared does not appear 'horrible'.</t>
  </si>
  <si>
    <t>Change wt to about 200g</t>
  </si>
  <si>
    <t>Scorpion SII-3026-710KV 0-deg timing</t>
  </si>
  <si>
    <t>APC 10x10E Innov8</t>
  </si>
  <si>
    <t>Big Difference here.</t>
  </si>
  <si>
    <t>Change wt to about 100g</t>
  </si>
  <si>
    <t>Pulso X 2814/16 KM</t>
  </si>
  <si>
    <t>APC 10x8 sport</t>
  </si>
  <si>
    <t>Change wt to about 150g</t>
  </si>
  <si>
    <t>Kontronik Kora 15-16</t>
  </si>
  <si>
    <t>Lowest weight in DC with good data</t>
  </si>
  <si>
    <t>Turnigy 2211 2300</t>
  </si>
  <si>
    <t>GWS 6x3 HD</t>
  </si>
  <si>
    <t>Heaviest weight in DC with good data</t>
  </si>
  <si>
    <t>Hacker Q80-11S F3A</t>
  </si>
  <si>
    <t>Menz Elektro Holz 23x12</t>
  </si>
  <si>
    <t>Looking at Freewing and Hitec Motor</t>
  </si>
  <si>
    <t>Freewing 3536</t>
  </si>
  <si>
    <t>APC 11x7E 21.5g (like stock)</t>
  </si>
  <si>
    <t>Hitec D3720-630Kv</t>
  </si>
  <si>
    <t>APC 14x10E 29g</t>
  </si>
  <si>
    <t>Using LiPo and letting DC adjust the voltage</t>
  </si>
  <si>
    <t>Blackline 3200</t>
  </si>
  <si>
    <t>Blackline 4400</t>
  </si>
  <si>
    <t>Blackline 2200</t>
  </si>
  <si>
    <t>As expected the generic formula does still over-predict when using 'real/DC simulated' LiPo cell voltages under load.</t>
  </si>
  <si>
    <t>Looking at Freewing using Drive Calculator data</t>
  </si>
  <si>
    <t>using RPM</t>
  </si>
  <si>
    <t>Io</t>
  </si>
  <si>
    <t>RPM low</t>
  </si>
  <si>
    <t>Rpm High</t>
  </si>
  <si>
    <t>&amp; ^2</t>
  </si>
  <si>
    <t>Ron's</t>
  </si>
  <si>
    <t xml:space="preserve">% </t>
  </si>
  <si>
    <t>Ken's</t>
  </si>
  <si>
    <t>Factors</t>
  </si>
  <si>
    <t>DC Eff for 2208/26 3S</t>
  </si>
  <si>
    <t>Pout</t>
  </si>
  <si>
    <t>Pin</t>
  </si>
  <si>
    <t>Waste</t>
  </si>
  <si>
    <t>Pitch Speed</t>
  </si>
  <si>
    <t>Amps</t>
  </si>
  <si>
    <t>800mAh 48g</t>
  </si>
  <si>
    <t>1000mAh 72g</t>
  </si>
  <si>
    <t>GWS 8x4</t>
  </si>
  <si>
    <t>RPM</t>
  </si>
  <si>
    <t>There is some kind of pattern here, but I can't figure it out.</t>
  </si>
  <si>
    <t>These seem 'odd' so I did not include them</t>
  </si>
  <si>
    <t>These also seem 'odd' so I did not include them</t>
  </si>
  <si>
    <t>I see no apparent pattern</t>
  </si>
  <si>
    <t>I can find no pattern using Average Best raised.</t>
  </si>
  <si>
    <t>10S factor</t>
  </si>
  <si>
    <t>@ 35 amps</t>
  </si>
  <si>
    <t>8S factor</t>
  </si>
  <si>
    <t>Table Amps</t>
  </si>
  <si>
    <t>Table Volts</t>
  </si>
  <si>
    <t>Drive Calc. @ 28.5V constant</t>
  </si>
  <si>
    <t>APC 15x10E</t>
  </si>
  <si>
    <t>These numbers looks pretty good</t>
  </si>
  <si>
    <t>APC 16x8E</t>
  </si>
  <si>
    <t>APC 16x10E</t>
  </si>
  <si>
    <t>APC 17x8E</t>
  </si>
  <si>
    <t>APC 18x8E</t>
  </si>
  <si>
    <t>APC 12x12E</t>
  </si>
  <si>
    <t>I didn't create a Innov8tive version of this prop</t>
  </si>
  <si>
    <t>APC 13x8E</t>
  </si>
  <si>
    <t>APC 14x7E</t>
  </si>
  <si>
    <t>APC 11x8.5E</t>
  </si>
  <si>
    <t>APC 12x6E</t>
  </si>
  <si>
    <t>6S factor</t>
  </si>
  <si>
    <t>Usable props under APC 11x7E and not on table</t>
  </si>
  <si>
    <t>Drive Calc. @ 25.65V constant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</si>
</sst>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%"/>
    <numFmt numFmtId="167" formatCode="0.00"/>
    <numFmt numFmtId="168" formatCode="0"/>
    <numFmt numFmtId="169" formatCode="0.000"/>
  </numFmts>
  <fonts count="30"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 horizontal="center"/>
    </xf>
    <xf numFmtId="164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4" fontId="11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164" fontId="13" fillId="0" borderId="0" xfId="0" applyFont="1" applyAlignment="1">
      <alignment horizontal="right"/>
    </xf>
    <xf numFmtId="167" fontId="13" fillId="0" borderId="0" xfId="0" applyNumberFormat="1" applyFont="1" applyFill="1" applyAlignment="1">
      <alignment horizontal="center"/>
    </xf>
    <xf numFmtId="164" fontId="15" fillId="0" borderId="0" xfId="0" applyFont="1" applyAlignment="1">
      <alignment horizontal="right"/>
    </xf>
    <xf numFmtId="167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left"/>
    </xf>
    <xf numFmtId="168" fontId="1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9" fontId="0" fillId="0" borderId="0" xfId="0" applyNumberFormat="1" applyFont="1" applyAlignment="1">
      <alignment horizontal="left"/>
    </xf>
    <xf numFmtId="164" fontId="1" fillId="3" borderId="0" xfId="0" applyFont="1" applyFill="1" applyAlignment="1">
      <alignment horizontal="center"/>
    </xf>
    <xf numFmtId="169" fontId="1" fillId="3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right"/>
    </xf>
    <xf numFmtId="164" fontId="18" fillId="0" borderId="0" xfId="0" applyFont="1" applyAlignment="1">
      <alignment horizontal="right"/>
    </xf>
    <xf numFmtId="164" fontId="1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Amp Increase Compared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Proofs!$C$120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Proofs!$A$121:$A$128</c:f>
              <c:strCache/>
            </c:strRef>
          </c:cat>
          <c:val>
            <c:numRef>
              <c:f>Proofs!$C$121:$C$128</c:f>
              <c:numCache/>
            </c:numRef>
          </c:val>
          <c:smooth val="0"/>
        </c:ser>
        <c:ser>
          <c:idx val="1"/>
          <c:order val="1"/>
          <c:tx>
            <c:strRef>
              <c:f>Proofs!$F$120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Proofs!$A$121:$A$128</c:f>
              <c:strCache/>
            </c:strRef>
          </c:cat>
          <c:val>
            <c:numRef>
              <c:f>Proofs!$F$121:$F$128</c:f>
              <c:numCache/>
            </c:numRef>
          </c:val>
          <c:smooth val="0"/>
        </c:ser>
        <c:marker val="1"/>
        <c:axId val="46366277"/>
        <c:axId val="14643310"/>
      </c:lineChart>
      <c:dateAx>
        <c:axId val="4636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10"/>
        <c:crossesAt val="0"/>
        <c:auto val="0"/>
        <c:noMultiLvlLbl val="0"/>
      </c:dateAx>
      <c:valAx>
        <c:axId val="1464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Amp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62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133</xdr:row>
      <xdr:rowOff>28575</xdr:rowOff>
    </xdr:from>
    <xdr:to>
      <xdr:col>7</xdr:col>
      <xdr:colOff>352425</xdr:colOff>
      <xdr:row>155</xdr:row>
      <xdr:rowOff>95250</xdr:rowOff>
    </xdr:to>
    <xdr:graphicFrame>
      <xdr:nvGraphicFramePr>
        <xdr:cNvPr id="1" name="Chart 1"/>
        <xdr:cNvGraphicFramePr/>
      </xdr:nvGraphicFramePr>
      <xdr:xfrm>
        <a:off x="1685925" y="21564600"/>
        <a:ext cx="5467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9"/>
  <sheetViews>
    <sheetView zoomScale="110" zoomScaleNormal="110" workbookViewId="0" topLeftCell="A183">
      <selection activeCell="K208" sqref="K208"/>
    </sheetView>
  </sheetViews>
  <sheetFormatPr defaultColWidth="12.57421875" defaultRowHeight="12.75"/>
  <cols>
    <col min="1" max="1" width="20.7109375" style="0" customWidth="1"/>
    <col min="2" max="2" width="15.8515625" style="0" customWidth="1"/>
    <col min="3" max="3" width="12.28125" style="0" customWidth="1"/>
    <col min="4" max="4" width="11.140625" style="0" customWidth="1"/>
    <col min="5" max="5" width="10.140625" style="0" customWidth="1"/>
    <col min="6" max="7" width="13.00390625" style="0" customWidth="1"/>
    <col min="8" max="8" width="5.57421875" style="0" customWidth="1"/>
    <col min="9" max="10" width="13.00390625" style="0" customWidth="1"/>
    <col min="11" max="16384" width="11.57421875" style="0" customWidth="1"/>
  </cols>
  <sheetData>
    <row r="1" spans="1:9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1" t="s">
        <v>9</v>
      </c>
      <c r="B2" s="1" t="s">
        <v>10</v>
      </c>
      <c r="C2" s="3">
        <f>(3/2)^1.5*E2</f>
        <v>10.949219150240806</v>
      </c>
      <c r="D2" s="2">
        <v>11.36</v>
      </c>
      <c r="E2" s="2">
        <v>5.96</v>
      </c>
      <c r="F2" s="4">
        <f>-((D2-C2)/D2)</f>
        <v>-0.03616028607035155</v>
      </c>
      <c r="G2" s="3">
        <f>C2-D2</f>
        <v>-0.4107808497591936</v>
      </c>
      <c r="H2" s="2">
        <v>1960</v>
      </c>
      <c r="I2" s="2" t="s">
        <v>11</v>
      </c>
    </row>
    <row r="3" spans="1:9" ht="12.75">
      <c r="A3" s="1"/>
      <c r="B3" s="1" t="s">
        <v>12</v>
      </c>
      <c r="C3" s="3">
        <f>(3/2)^1.5*E3</f>
        <v>9.68160820835051</v>
      </c>
      <c r="D3" s="2">
        <v>9.42</v>
      </c>
      <c r="E3" s="2">
        <v>5.27</v>
      </c>
      <c r="F3" s="4">
        <f>-((D3-C3)/D3)</f>
        <v>0.02777157201173152</v>
      </c>
      <c r="G3" s="3">
        <f>C3-D3</f>
        <v>0.2616082083505109</v>
      </c>
      <c r="H3" s="2">
        <v>1960</v>
      </c>
      <c r="I3" s="2" t="s">
        <v>11</v>
      </c>
    </row>
    <row r="4" spans="1:9" ht="12.75">
      <c r="A4" s="1"/>
      <c r="B4" s="1" t="s">
        <v>13</v>
      </c>
      <c r="C4" s="3">
        <f>(3/2)^1.5*E4</f>
        <v>11.794293111501004</v>
      </c>
      <c r="D4" s="2">
        <v>11.67</v>
      </c>
      <c r="E4" s="2">
        <v>6.42</v>
      </c>
      <c r="F4" s="4">
        <f>-((D4-C4)/D4)</f>
        <v>0.010650652228020887</v>
      </c>
      <c r="G4" s="3">
        <f>C4-D4</f>
        <v>0.12429311150100375</v>
      </c>
      <c r="H4" s="2">
        <v>1960</v>
      </c>
      <c r="I4" s="2" t="s">
        <v>11</v>
      </c>
    </row>
    <row r="5" spans="1:9" ht="12.75">
      <c r="A5" s="1"/>
      <c r="B5" s="1"/>
      <c r="C5" s="3"/>
      <c r="D5" s="2"/>
      <c r="E5" s="2" t="s">
        <v>14</v>
      </c>
      <c r="F5" s="4">
        <f>AVERAGE(F2:F4)</f>
        <v>0.0007539793898002842</v>
      </c>
      <c r="G5" s="3">
        <f>AVERAGE(G2:G4)</f>
        <v>-0.008293176635892982</v>
      </c>
      <c r="H5" s="2"/>
      <c r="I5" s="2"/>
    </row>
    <row r="6" spans="1:9" ht="12.75">
      <c r="A6" s="1"/>
      <c r="B6" s="1"/>
      <c r="C6" s="3"/>
      <c r="D6" s="2"/>
      <c r="E6" s="2"/>
      <c r="F6" s="4"/>
      <c r="G6" s="3"/>
      <c r="H6" s="2"/>
      <c r="I6" s="2"/>
    </row>
    <row r="7" spans="1:9" ht="12.75">
      <c r="A7" s="5" t="s">
        <v>0</v>
      </c>
      <c r="B7" s="5" t="s">
        <v>1</v>
      </c>
      <c r="C7" s="6" t="s">
        <v>15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2.75">
      <c r="A8" s="5" t="s">
        <v>9</v>
      </c>
      <c r="B8" s="5" t="s">
        <v>10</v>
      </c>
      <c r="C8" s="7">
        <f>(3/2)^2*E8</f>
        <v>13.41</v>
      </c>
      <c r="D8" s="6">
        <v>11.36</v>
      </c>
      <c r="E8" s="6">
        <v>5.96</v>
      </c>
      <c r="F8" s="8">
        <f>-((D8-C8)/D8)</f>
        <v>0.1804577464788733</v>
      </c>
      <c r="G8" s="7">
        <f>C8-D8</f>
        <v>2.0500000000000007</v>
      </c>
      <c r="H8" s="6">
        <v>1960</v>
      </c>
      <c r="I8" s="6" t="s">
        <v>11</v>
      </c>
    </row>
    <row r="9" spans="1:9" ht="12.75">
      <c r="A9" s="5"/>
      <c r="B9" s="5" t="s">
        <v>12</v>
      </c>
      <c r="C9" s="7">
        <f>(3/2)^2*E9</f>
        <v>11.857499999999998</v>
      </c>
      <c r="D9" s="6">
        <v>9.42</v>
      </c>
      <c r="E9" s="6">
        <v>5.27</v>
      </c>
      <c r="F9" s="8">
        <f>-((D9-C9)/D9)</f>
        <v>0.2587579617834393</v>
      </c>
      <c r="G9" s="7">
        <f>C9-D9</f>
        <v>2.4374999999999982</v>
      </c>
      <c r="H9" s="6">
        <v>1960</v>
      </c>
      <c r="I9" s="6" t="s">
        <v>11</v>
      </c>
    </row>
    <row r="10" spans="1:9" ht="12.75">
      <c r="A10" s="5"/>
      <c r="B10" s="5" t="s">
        <v>13</v>
      </c>
      <c r="C10" s="7">
        <f>(3/2)^2*E10</f>
        <v>14.445</v>
      </c>
      <c r="D10" s="6">
        <v>11.67</v>
      </c>
      <c r="E10" s="6">
        <v>6.42</v>
      </c>
      <c r="F10" s="8">
        <f>-((D10-C10)/D10)</f>
        <v>0.23778920308483292</v>
      </c>
      <c r="G10" s="7">
        <f>C10-D10</f>
        <v>2.7750000000000004</v>
      </c>
      <c r="H10" s="6">
        <v>1960</v>
      </c>
      <c r="I10" s="6" t="s">
        <v>11</v>
      </c>
    </row>
    <row r="11" spans="1:9" ht="12.75">
      <c r="A11" s="5"/>
      <c r="B11" s="5"/>
      <c r="C11" s="7"/>
      <c r="D11" s="6"/>
      <c r="E11" s="6" t="s">
        <v>14</v>
      </c>
      <c r="F11" s="8">
        <f>AVERAGE(F8:F10)</f>
        <v>0.2256683037823818</v>
      </c>
      <c r="G11" s="7">
        <f>AVERAGE(G8:G10)</f>
        <v>2.420833333333333</v>
      </c>
      <c r="H11" s="6"/>
      <c r="I11" s="6"/>
    </row>
    <row r="12" spans="1:9" ht="12.75">
      <c r="A12" s="1"/>
      <c r="B12" s="1"/>
      <c r="C12" s="3"/>
      <c r="D12" s="2"/>
      <c r="E12" s="2"/>
      <c r="F12" s="4"/>
      <c r="G12" s="3"/>
      <c r="H12" s="2"/>
      <c r="I12" s="2"/>
    </row>
    <row r="13" spans="1:9" ht="12.75">
      <c r="A13" s="1" t="s">
        <v>0</v>
      </c>
      <c r="B13" s="1" t="s">
        <v>1</v>
      </c>
      <c r="C13" s="2" t="s">
        <v>16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</row>
    <row r="14" spans="1:9" ht="12.75">
      <c r="A14" s="1" t="s">
        <v>17</v>
      </c>
      <c r="B14" s="1" t="s">
        <v>18</v>
      </c>
      <c r="C14" s="3">
        <f>(3/2)^1.47*E14</f>
        <v>8.185226331561065</v>
      </c>
      <c r="D14" s="2">
        <v>8.17</v>
      </c>
      <c r="E14" s="2">
        <v>4.51</v>
      </c>
      <c r="F14" s="4">
        <f>-((D14-C14)/D14)</f>
        <v>0.0018636880735697686</v>
      </c>
      <c r="G14" s="3">
        <f>C14-D14</f>
        <v>0.01522633156106501</v>
      </c>
      <c r="H14" s="2">
        <v>1570</v>
      </c>
      <c r="I14" s="2" t="s">
        <v>19</v>
      </c>
    </row>
    <row r="15" spans="1:9" ht="12.75">
      <c r="A15" s="1"/>
      <c r="B15" s="1" t="s">
        <v>20</v>
      </c>
      <c r="C15" s="3">
        <f>(3/2)^1.47*E15</f>
        <v>6.606258059175672</v>
      </c>
      <c r="D15" s="2">
        <v>6.81</v>
      </c>
      <c r="E15" s="2">
        <v>3.64</v>
      </c>
      <c r="F15" s="4">
        <f>-((D15-C15)/D15)</f>
        <v>-0.02991805298448278</v>
      </c>
      <c r="G15" s="3">
        <f>C15-D15</f>
        <v>-0.20374194082432773</v>
      </c>
      <c r="H15" s="2">
        <v>1570</v>
      </c>
      <c r="I15" s="2" t="s">
        <v>19</v>
      </c>
    </row>
    <row r="16" spans="1:9" ht="12.75">
      <c r="A16" s="1"/>
      <c r="B16" s="1" t="s">
        <v>21</v>
      </c>
      <c r="C16" s="3">
        <f>(3/2)^1.47*E16</f>
        <v>10.290517361408257</v>
      </c>
      <c r="D16" s="2">
        <v>10.3</v>
      </c>
      <c r="E16" s="2">
        <v>5.67</v>
      </c>
      <c r="F16" s="4">
        <f>-((D16-C16)/D16)</f>
        <v>-0.0009206445234702186</v>
      </c>
      <c r="G16" s="3">
        <f>C16-D16</f>
        <v>-0.009482638591743253</v>
      </c>
      <c r="H16" s="2">
        <v>1570</v>
      </c>
      <c r="I16" s="2" t="s">
        <v>19</v>
      </c>
    </row>
    <row r="17" spans="1:9" ht="12.75">
      <c r="A17" s="1"/>
      <c r="B17" s="9" t="s">
        <v>22</v>
      </c>
      <c r="C17" s="3">
        <f>(3/2)^1.47*E17</f>
        <v>9.165275604076138</v>
      </c>
      <c r="D17" s="2">
        <v>8.88</v>
      </c>
      <c r="E17" s="2">
        <v>5.05</v>
      </c>
      <c r="F17" s="4">
        <f>-((D17-C17)/D17)</f>
        <v>0.03212563108965507</v>
      </c>
      <c r="G17" s="3">
        <f>C17-D17</f>
        <v>0.28527560407613706</v>
      </c>
      <c r="H17" s="2">
        <v>1570</v>
      </c>
      <c r="I17" s="2" t="s">
        <v>19</v>
      </c>
    </row>
    <row r="18" spans="1:9" ht="12.75">
      <c r="A18" s="1"/>
      <c r="B18" s="1" t="s">
        <v>13</v>
      </c>
      <c r="C18" s="3">
        <f>(3/2)^1.47*E18</f>
        <v>6.9692392712182905</v>
      </c>
      <c r="D18" s="2">
        <v>6.98</v>
      </c>
      <c r="E18" s="2">
        <v>3.84</v>
      </c>
      <c r="F18" s="4">
        <f>-((D18-C18)/D18)</f>
        <v>-0.0015416516879240647</v>
      </c>
      <c r="G18" s="3">
        <f>C18-D18</f>
        <v>-0.010760728781709972</v>
      </c>
      <c r="H18" s="2">
        <v>1570</v>
      </c>
      <c r="I18" s="2" t="s">
        <v>19</v>
      </c>
    </row>
    <row r="19" spans="1:9" ht="12.75">
      <c r="A19" s="1"/>
      <c r="B19" s="1"/>
      <c r="C19" s="3"/>
      <c r="D19" s="2"/>
      <c r="E19" s="2" t="s">
        <v>14</v>
      </c>
      <c r="F19" s="4">
        <f>AVERAGE(F14:F18)</f>
        <v>0.0003217939934695546</v>
      </c>
      <c r="G19" s="3">
        <f>AVERAGE(G14:G18)</f>
        <v>0.015303325487884222</v>
      </c>
      <c r="H19" s="2"/>
      <c r="I19" s="2"/>
    </row>
    <row r="20" spans="1:9" ht="12.75">
      <c r="A20" s="1"/>
      <c r="B20" s="1"/>
      <c r="C20" s="3"/>
      <c r="D20" s="2"/>
      <c r="E20" s="2"/>
      <c r="F20" s="4"/>
      <c r="G20" s="3"/>
      <c r="H20" s="2"/>
      <c r="I20" s="2"/>
    </row>
    <row r="21" spans="1:9" ht="12.75">
      <c r="A21" s="5" t="s">
        <v>0</v>
      </c>
      <c r="B21" s="5" t="s">
        <v>1</v>
      </c>
      <c r="C21" s="6" t="s">
        <v>15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</row>
    <row r="22" spans="1:9" ht="12.75">
      <c r="A22" s="5" t="s">
        <v>17</v>
      </c>
      <c r="B22" s="5" t="s">
        <v>18</v>
      </c>
      <c r="C22" s="7">
        <f>(3/2)^2*E22</f>
        <v>10.147499999999999</v>
      </c>
      <c r="D22" s="6">
        <v>8.17</v>
      </c>
      <c r="E22" s="6">
        <v>4.51</v>
      </c>
      <c r="F22" s="8">
        <f>-((D22-C22)/D22)</f>
        <v>0.24204406364749073</v>
      </c>
      <c r="G22" s="7">
        <f>C22-D22</f>
        <v>1.9774999999999991</v>
      </c>
      <c r="H22" s="6">
        <v>1570</v>
      </c>
      <c r="I22" s="6" t="s">
        <v>19</v>
      </c>
    </row>
    <row r="23" spans="1:9" ht="12.75">
      <c r="A23" s="5"/>
      <c r="B23" s="5" t="s">
        <v>20</v>
      </c>
      <c r="C23" s="7">
        <f>(3/2)^2*E23</f>
        <v>8.19</v>
      </c>
      <c r="D23" s="6">
        <v>6.81</v>
      </c>
      <c r="E23" s="6">
        <v>3.64</v>
      </c>
      <c r="F23" s="8">
        <f>-((D23-C23)/D23)</f>
        <v>0.2026431718061674</v>
      </c>
      <c r="G23" s="7">
        <f>C23-D23</f>
        <v>1.38</v>
      </c>
      <c r="H23" s="6">
        <v>1570</v>
      </c>
      <c r="I23" s="6" t="s">
        <v>19</v>
      </c>
    </row>
    <row r="24" spans="1:9" ht="12.75">
      <c r="A24" s="5"/>
      <c r="B24" s="5" t="s">
        <v>21</v>
      </c>
      <c r="C24" s="7">
        <f>(3/2)^2*E24</f>
        <v>12.7575</v>
      </c>
      <c r="D24" s="6">
        <v>10.3</v>
      </c>
      <c r="E24" s="6">
        <v>5.67</v>
      </c>
      <c r="F24" s="8">
        <f>-((D24-C24)/D24)</f>
        <v>0.2385922330097087</v>
      </c>
      <c r="G24" s="7">
        <f>C24-D24</f>
        <v>2.4574999999999996</v>
      </c>
      <c r="H24" s="6">
        <v>1570</v>
      </c>
      <c r="I24" s="6" t="s">
        <v>19</v>
      </c>
    </row>
    <row r="25" spans="1:9" ht="12.75">
      <c r="A25" s="5"/>
      <c r="B25" s="10" t="s">
        <v>22</v>
      </c>
      <c r="C25" s="7">
        <f>(3/2)^2*E25</f>
        <v>11.362499999999999</v>
      </c>
      <c r="D25" s="6">
        <v>8.88</v>
      </c>
      <c r="E25" s="6">
        <v>5.05</v>
      </c>
      <c r="F25" s="8">
        <f>-((D25-C25)/D25)</f>
        <v>0.2795608108108106</v>
      </c>
      <c r="G25" s="7">
        <f>C25-D25</f>
        <v>2.482499999999998</v>
      </c>
      <c r="H25" s="6">
        <v>1570</v>
      </c>
      <c r="I25" s="6" t="s">
        <v>19</v>
      </c>
    </row>
    <row r="26" spans="1:9" ht="12.75">
      <c r="A26" s="5"/>
      <c r="B26" s="5" t="s">
        <v>13</v>
      </c>
      <c r="C26" s="7">
        <f>(3/2)^2*E26</f>
        <v>8.64</v>
      </c>
      <c r="D26" s="6">
        <v>6.98</v>
      </c>
      <c r="E26" s="6">
        <v>3.84</v>
      </c>
      <c r="F26" s="8">
        <f>-((D26-C26)/D26)</f>
        <v>0.23782234957020057</v>
      </c>
      <c r="G26" s="7">
        <f>C26-D26</f>
        <v>1.6600000000000001</v>
      </c>
      <c r="H26" s="6">
        <v>1570</v>
      </c>
      <c r="I26" s="6" t="s">
        <v>19</v>
      </c>
    </row>
    <row r="27" spans="1:9" ht="12.75">
      <c r="A27" s="5"/>
      <c r="B27" s="5"/>
      <c r="C27" s="7"/>
      <c r="D27" s="6"/>
      <c r="E27" s="6" t="s">
        <v>14</v>
      </c>
      <c r="F27" s="8">
        <f>AVERAGE(F22:F26)</f>
        <v>0.24013252576887562</v>
      </c>
      <c r="G27" s="7">
        <f>AVERAGE(G22:G26)</f>
        <v>1.9914999999999992</v>
      </c>
      <c r="H27" s="6"/>
      <c r="I27" s="6"/>
    </row>
    <row r="28" spans="1:9" ht="12.75">
      <c r="A28" s="5"/>
      <c r="B28" s="5"/>
      <c r="C28" s="7"/>
      <c r="D28" s="6"/>
      <c r="E28" s="6"/>
      <c r="F28" s="8"/>
      <c r="G28" s="7"/>
      <c r="H28" s="6"/>
      <c r="I28" s="6"/>
    </row>
    <row r="29" spans="1:9" ht="12.75">
      <c r="A29" s="1" t="s">
        <v>0</v>
      </c>
      <c r="B29" s="1" t="s">
        <v>1</v>
      </c>
      <c r="C29" s="2" t="s">
        <v>23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</row>
    <row r="30" spans="1:9" ht="12.75">
      <c r="A30" s="1" t="s">
        <v>24</v>
      </c>
      <c r="B30" s="1" t="s">
        <v>25</v>
      </c>
      <c r="C30" s="3">
        <f>(3/2)^1.34*E30</f>
        <v>7.231220049630376</v>
      </c>
      <c r="D30" s="2">
        <v>6.97</v>
      </c>
      <c r="E30" s="2">
        <v>4.2</v>
      </c>
      <c r="F30" s="4">
        <f>-((D30-C30)/D30)</f>
        <v>0.037477768957012346</v>
      </c>
      <c r="G30" s="3">
        <f>C30-D30</f>
        <v>0.26122004963037604</v>
      </c>
      <c r="H30" s="2">
        <v>1080</v>
      </c>
      <c r="I30" s="2" t="s">
        <v>19</v>
      </c>
    </row>
    <row r="31" spans="1:9" ht="12.75">
      <c r="A31" s="1"/>
      <c r="B31" s="1" t="s">
        <v>26</v>
      </c>
      <c r="C31" s="3">
        <f>(3/2)^1.34*E31</f>
        <v>6.129319851591461</v>
      </c>
      <c r="D31" s="2">
        <v>6.01</v>
      </c>
      <c r="E31" s="2">
        <v>3.56</v>
      </c>
      <c r="F31" s="4">
        <f>-((D31-C31)/D31)</f>
        <v>0.019853552677447806</v>
      </c>
      <c r="G31" s="3">
        <f>C31-D31</f>
        <v>0.1193198515914613</v>
      </c>
      <c r="H31" s="2">
        <v>1080</v>
      </c>
      <c r="I31" s="2" t="s">
        <v>19</v>
      </c>
    </row>
    <row r="32" spans="1:9" ht="12.75">
      <c r="A32" s="1"/>
      <c r="B32" s="1" t="s">
        <v>27</v>
      </c>
      <c r="C32" s="3">
        <f>(3/2)^1.34*E32</f>
        <v>5.423415037222782</v>
      </c>
      <c r="D32" s="2">
        <v>5.49</v>
      </c>
      <c r="E32" s="2">
        <v>3.15</v>
      </c>
      <c r="F32" s="4">
        <f>-((D32-C32)/D32)</f>
        <v>-0.012128408520440545</v>
      </c>
      <c r="G32" s="3">
        <f>C32-D32</f>
        <v>-0.06658496277721859</v>
      </c>
      <c r="H32" s="2">
        <v>1080</v>
      </c>
      <c r="I32" s="2" t="s">
        <v>19</v>
      </c>
    </row>
    <row r="33" spans="1:9" ht="12.75">
      <c r="A33" s="1"/>
      <c r="B33" s="1" t="s">
        <v>28</v>
      </c>
      <c r="C33" s="3">
        <f>(3/2)^1.34*E33</f>
        <v>5.819410420893016</v>
      </c>
      <c r="D33" s="2">
        <v>6.08</v>
      </c>
      <c r="E33" s="2">
        <v>3.38</v>
      </c>
      <c r="F33" s="4">
        <f>-((D33-C33)/D33)</f>
        <v>-0.04286012814259607</v>
      </c>
      <c r="G33" s="3">
        <f>C33-D33</f>
        <v>-0.2605895791069841</v>
      </c>
      <c r="H33" s="2">
        <v>1080</v>
      </c>
      <c r="I33" s="2" t="s">
        <v>19</v>
      </c>
    </row>
    <row r="34" spans="1:9" ht="12.75">
      <c r="A34" s="5"/>
      <c r="B34" s="5"/>
      <c r="C34" s="7"/>
      <c r="D34" s="6"/>
      <c r="E34" s="2" t="s">
        <v>14</v>
      </c>
      <c r="F34" s="4">
        <f>AVERAGE(F30:F33)</f>
        <v>0.0005856962428558831</v>
      </c>
      <c r="G34" s="3">
        <f>AVERAGE(G30:G33)</f>
        <v>0.013341339834408661</v>
      </c>
      <c r="H34" s="6"/>
      <c r="I34" s="6"/>
    </row>
    <row r="35" spans="1:9" ht="12.75">
      <c r="A35" s="5"/>
      <c r="B35" s="5"/>
      <c r="C35" s="7"/>
      <c r="D35" s="6"/>
      <c r="E35" s="2"/>
      <c r="F35" s="4"/>
      <c r="G35" s="3"/>
      <c r="H35" s="6"/>
      <c r="I35" s="6"/>
    </row>
    <row r="36" spans="1:9" ht="12.75">
      <c r="A36" s="5" t="s">
        <v>0</v>
      </c>
      <c r="B36" s="5" t="s">
        <v>1</v>
      </c>
      <c r="C36" s="6" t="s">
        <v>15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</row>
    <row r="37" spans="1:9" ht="12.75">
      <c r="A37" s="5" t="s">
        <v>24</v>
      </c>
      <c r="B37" s="5" t="s">
        <v>25</v>
      </c>
      <c r="C37" s="7">
        <f>(3/2)^2*E37</f>
        <v>9.450000000000001</v>
      </c>
      <c r="D37" s="6">
        <v>6.97</v>
      </c>
      <c r="E37" s="6">
        <v>4.2</v>
      </c>
      <c r="F37" s="8">
        <f>-((D37-C37)/D37)</f>
        <v>0.3558106169296989</v>
      </c>
      <c r="G37" s="7">
        <f>C37-D37</f>
        <v>2.4800000000000013</v>
      </c>
      <c r="H37" s="6">
        <v>1080</v>
      </c>
      <c r="I37" s="6" t="s">
        <v>19</v>
      </c>
    </row>
    <row r="38" spans="1:9" ht="12.75">
      <c r="A38" s="5"/>
      <c r="B38" s="5" t="s">
        <v>26</v>
      </c>
      <c r="C38" s="7">
        <f>(3/2)^2*E38</f>
        <v>8.01</v>
      </c>
      <c r="D38" s="6">
        <v>6.01</v>
      </c>
      <c r="E38" s="6">
        <v>3.56</v>
      </c>
      <c r="F38" s="8">
        <f>-((D38-C38)/D38)</f>
        <v>0.3327787021630616</v>
      </c>
      <c r="G38" s="7">
        <f>C38-D38</f>
        <v>2</v>
      </c>
      <c r="H38" s="6">
        <v>1080</v>
      </c>
      <c r="I38" s="6" t="s">
        <v>19</v>
      </c>
    </row>
    <row r="39" spans="1:9" ht="12.75">
      <c r="A39" s="5"/>
      <c r="B39" s="5" t="s">
        <v>27</v>
      </c>
      <c r="C39" s="7">
        <f>(3/2)^2*E39</f>
        <v>7.0874999999999995</v>
      </c>
      <c r="D39" s="6">
        <v>5.49</v>
      </c>
      <c r="E39" s="6">
        <v>3.15</v>
      </c>
      <c r="F39" s="8">
        <f>-((D39-C39)/D39)</f>
        <v>0.29098360655737693</v>
      </c>
      <c r="G39" s="7">
        <f>C39-D39</f>
        <v>1.5974999999999993</v>
      </c>
      <c r="H39" s="6">
        <v>1080</v>
      </c>
      <c r="I39" s="6" t="s">
        <v>19</v>
      </c>
    </row>
    <row r="40" spans="1:9" ht="12.75">
      <c r="A40" s="5"/>
      <c r="B40" s="5" t="s">
        <v>28</v>
      </c>
      <c r="C40" s="7">
        <f>(3/2)^2*E40</f>
        <v>7.6049999999999995</v>
      </c>
      <c r="D40" s="6">
        <v>6.08</v>
      </c>
      <c r="E40" s="6">
        <v>3.38</v>
      </c>
      <c r="F40" s="8">
        <f>-((D40-C40)/D40)</f>
        <v>0.25082236842105254</v>
      </c>
      <c r="G40" s="7">
        <f>C40-D40</f>
        <v>1.5249999999999995</v>
      </c>
      <c r="H40" s="6">
        <v>1080</v>
      </c>
      <c r="I40" s="6" t="s">
        <v>19</v>
      </c>
    </row>
    <row r="41" spans="1:9" ht="12.75">
      <c r="A41" s="5"/>
      <c r="B41" s="5"/>
      <c r="C41" s="7"/>
      <c r="D41" s="6"/>
      <c r="E41" s="6" t="s">
        <v>14</v>
      </c>
      <c r="F41" s="8">
        <f>AVERAGE(F37:F40)</f>
        <v>0.3075988235177975</v>
      </c>
      <c r="G41" s="7">
        <f>AVERAGE(G37:G40)</f>
        <v>1.900625</v>
      </c>
      <c r="H41" s="6"/>
      <c r="I41" s="6"/>
    </row>
    <row r="42" spans="1:9" ht="12.75">
      <c r="A42" s="5"/>
      <c r="B42" s="5"/>
      <c r="C42" s="7"/>
      <c r="D42" s="6"/>
      <c r="E42" s="6"/>
      <c r="F42" s="8"/>
      <c r="G42" s="7"/>
      <c r="H42" s="6"/>
      <c r="I42" s="6"/>
    </row>
    <row r="43" spans="1:9" ht="12.75">
      <c r="A43" s="11" t="s">
        <v>0</v>
      </c>
      <c r="B43" s="1" t="s">
        <v>1</v>
      </c>
      <c r="C43" s="2" t="s">
        <v>29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I43" s="2" t="s">
        <v>8</v>
      </c>
    </row>
    <row r="44" spans="1:9" ht="12.75">
      <c r="A44" s="1" t="s">
        <v>30</v>
      </c>
      <c r="B44" s="1" t="s">
        <v>18</v>
      </c>
      <c r="C44" s="3">
        <f>(3/2)^1.27*E44</f>
        <v>12.451131921186603</v>
      </c>
      <c r="D44" s="2">
        <v>12.45</v>
      </c>
      <c r="E44" s="2">
        <v>7.44</v>
      </c>
      <c r="F44" s="4">
        <f>-((D44-C44)/D44)</f>
        <v>9.091736438581808E-05</v>
      </c>
      <c r="G44" s="3">
        <f>C44-D44</f>
        <v>0.001131921186603435</v>
      </c>
      <c r="H44" s="2">
        <v>1900</v>
      </c>
      <c r="I44" s="2" t="s">
        <v>31</v>
      </c>
    </row>
    <row r="45" spans="1:9" ht="12.75">
      <c r="A45" s="1"/>
      <c r="B45" s="1" t="s">
        <v>10</v>
      </c>
      <c r="C45" s="3">
        <f>(3/2)^1.27*E45</f>
        <v>10.509826406592992</v>
      </c>
      <c r="D45" s="2">
        <v>10.58</v>
      </c>
      <c r="E45" s="2">
        <v>6.28</v>
      </c>
      <c r="F45" s="4">
        <f>-((D45-C45)/D45)</f>
        <v>-0.006632664783271037</v>
      </c>
      <c r="G45" s="3">
        <f>C45-D45</f>
        <v>-0.07017359340700757</v>
      </c>
      <c r="H45" s="2">
        <v>1900</v>
      </c>
      <c r="I45" s="2" t="s">
        <v>31</v>
      </c>
    </row>
    <row r="46" spans="1:9" ht="12.75">
      <c r="A46" s="1"/>
      <c r="B46" s="1" t="s">
        <v>12</v>
      </c>
      <c r="C46" s="3">
        <f>(3/2)^1.27*E46</f>
        <v>8.836287169874362</v>
      </c>
      <c r="D46" s="2">
        <v>8.91</v>
      </c>
      <c r="E46" s="2">
        <v>5.28</v>
      </c>
      <c r="F46" s="4">
        <f>-((D46-C46)/D46)</f>
        <v>-0.008273044907479012</v>
      </c>
      <c r="G46" s="3">
        <f>C46-D46</f>
        <v>-0.07371283012563801</v>
      </c>
      <c r="H46" s="2">
        <v>1900</v>
      </c>
      <c r="I46" s="2" t="s">
        <v>31</v>
      </c>
    </row>
    <row r="47" spans="1:9" ht="12.75">
      <c r="A47" s="1"/>
      <c r="B47" s="1" t="s">
        <v>32</v>
      </c>
      <c r="C47" s="3">
        <f>(3/2)^1.27*E47</f>
        <v>7.798692843108813</v>
      </c>
      <c r="D47" s="2">
        <v>7.98</v>
      </c>
      <c r="E47" s="2">
        <v>4.66</v>
      </c>
      <c r="F47" s="4">
        <f>-((D47-C47)/D47)</f>
        <v>-0.0227201950991463</v>
      </c>
      <c r="G47" s="3">
        <f>C47-D47</f>
        <v>-0.18130715689118748</v>
      </c>
      <c r="H47" s="2">
        <v>1900</v>
      </c>
      <c r="I47" s="2" t="s">
        <v>31</v>
      </c>
    </row>
    <row r="48" spans="1:9" ht="12.75">
      <c r="A48" s="1"/>
      <c r="B48" s="1" t="s">
        <v>21</v>
      </c>
      <c r="C48" s="3">
        <f>(3/2)^1.27*E48</f>
        <v>14.97817616863173</v>
      </c>
      <c r="D48" s="2">
        <v>14.86</v>
      </c>
      <c r="E48" s="2">
        <v>8.95</v>
      </c>
      <c r="F48" s="4">
        <f>-((D48-C48)/D48)</f>
        <v>0.007952635843319709</v>
      </c>
      <c r="G48" s="3">
        <f>C48-D48</f>
        <v>0.11817616863173086</v>
      </c>
      <c r="H48" s="2">
        <v>1900</v>
      </c>
      <c r="I48" s="2" t="s">
        <v>31</v>
      </c>
    </row>
    <row r="49" spans="1:9" ht="12.75">
      <c r="A49" s="1"/>
      <c r="B49" s="1" t="s">
        <v>22</v>
      </c>
      <c r="C49" s="3">
        <f>(3/2)^1.27*E49</f>
        <v>13.6728155639912</v>
      </c>
      <c r="D49" s="2">
        <v>13.09</v>
      </c>
      <c r="E49" s="2">
        <v>8.17</v>
      </c>
      <c r="F49" s="4">
        <f>-((D49-C49)/D49)</f>
        <v>0.044523725285806</v>
      </c>
      <c r="G49" s="3">
        <f>C49-D49</f>
        <v>0.5828155639912005</v>
      </c>
      <c r="H49" s="2">
        <v>1900</v>
      </c>
      <c r="I49" s="2" t="s">
        <v>31</v>
      </c>
    </row>
    <row r="50" spans="1:9" ht="12.75">
      <c r="A50" s="1"/>
      <c r="B50" s="1" t="s">
        <v>13</v>
      </c>
      <c r="C50" s="3">
        <f>(3/2)^1.27*E50</f>
        <v>10.727386507366413</v>
      </c>
      <c r="D50" s="2">
        <v>10.81</v>
      </c>
      <c r="E50" s="2">
        <v>6.41</v>
      </c>
      <c r="F50" s="4">
        <f>-((D50-C50)/D50)</f>
        <v>-0.007642321242700048</v>
      </c>
      <c r="G50" s="3">
        <f>C50-D50</f>
        <v>-0.08261349263358753</v>
      </c>
      <c r="H50" s="2">
        <v>1900</v>
      </c>
      <c r="I50" s="2" t="s">
        <v>31</v>
      </c>
    </row>
    <row r="51" spans="1:9" ht="12.75">
      <c r="A51" s="1"/>
      <c r="C51" s="3"/>
      <c r="D51" s="12"/>
      <c r="E51" s="2" t="s">
        <v>14</v>
      </c>
      <c r="F51" s="4">
        <f>AVERAGE(F44:F50)</f>
        <v>0.001042721780130732</v>
      </c>
      <c r="G51" s="3">
        <f>AVERAGE(G44:G50)</f>
        <v>0.0420452258217306</v>
      </c>
      <c r="H51" s="2"/>
      <c r="I51" s="2"/>
    </row>
    <row r="52" spans="1:9" ht="12.75">
      <c r="A52" s="1"/>
      <c r="C52" s="3"/>
      <c r="D52" s="12"/>
      <c r="E52" s="2"/>
      <c r="F52" s="4"/>
      <c r="G52" s="3"/>
      <c r="H52" s="2"/>
      <c r="I52" s="2"/>
    </row>
    <row r="53" spans="1:9" ht="12.75">
      <c r="A53" s="13" t="s">
        <v>0</v>
      </c>
      <c r="B53" s="5" t="s">
        <v>1</v>
      </c>
      <c r="C53" s="6" t="s">
        <v>15</v>
      </c>
      <c r="D53" s="6" t="s">
        <v>3</v>
      </c>
      <c r="E53" s="6" t="s">
        <v>4</v>
      </c>
      <c r="F53" s="6" t="s">
        <v>5</v>
      </c>
      <c r="G53" s="6" t="s">
        <v>6</v>
      </c>
      <c r="H53" s="6" t="s">
        <v>7</v>
      </c>
      <c r="I53" s="6" t="s">
        <v>8</v>
      </c>
    </row>
    <row r="54" spans="1:9" ht="12.75">
      <c r="A54" s="5" t="s">
        <v>30</v>
      </c>
      <c r="B54" s="5" t="s">
        <v>18</v>
      </c>
      <c r="C54" s="7">
        <f>(3/2)^2*E54</f>
        <v>16.740000000000002</v>
      </c>
      <c r="D54" s="6">
        <v>12.45</v>
      </c>
      <c r="E54" s="6">
        <v>7.44</v>
      </c>
      <c r="F54" s="8">
        <f>-((D54-C54)/D54)</f>
        <v>0.3445783132530123</v>
      </c>
      <c r="G54" s="7">
        <f>C54-D54</f>
        <v>4.290000000000003</v>
      </c>
      <c r="H54" s="6">
        <v>1900</v>
      </c>
      <c r="I54" s="6" t="s">
        <v>31</v>
      </c>
    </row>
    <row r="55" spans="1:9" ht="12.75">
      <c r="A55" s="5"/>
      <c r="B55" s="5" t="s">
        <v>10</v>
      </c>
      <c r="C55" s="7">
        <f>(3/2)^2*E55</f>
        <v>14.13</v>
      </c>
      <c r="D55" s="6">
        <v>10.58</v>
      </c>
      <c r="E55" s="6">
        <v>6.28</v>
      </c>
      <c r="F55" s="8">
        <f>-((D55-C55)/D55)</f>
        <v>0.335538752362949</v>
      </c>
      <c r="G55" s="7">
        <f>C55-D55</f>
        <v>3.5500000000000007</v>
      </c>
      <c r="H55" s="6">
        <v>1900</v>
      </c>
      <c r="I55" s="6" t="s">
        <v>31</v>
      </c>
    </row>
    <row r="56" spans="1:9" ht="12.75">
      <c r="A56" s="5"/>
      <c r="B56" s="5" t="s">
        <v>12</v>
      </c>
      <c r="C56" s="7">
        <f>(3/2)^2*E56</f>
        <v>11.88</v>
      </c>
      <c r="D56" s="6">
        <v>8.91</v>
      </c>
      <c r="E56" s="6">
        <v>5.28</v>
      </c>
      <c r="F56" s="8">
        <f>-((D56-C56)/D56)</f>
        <v>0.3333333333333334</v>
      </c>
      <c r="G56" s="7">
        <f>C56-D56</f>
        <v>2.9700000000000006</v>
      </c>
      <c r="H56" s="6">
        <v>1900</v>
      </c>
      <c r="I56" s="6" t="s">
        <v>31</v>
      </c>
    </row>
    <row r="57" spans="1:9" ht="12.75">
      <c r="A57" s="5"/>
      <c r="B57" s="5" t="s">
        <v>32</v>
      </c>
      <c r="C57" s="7">
        <f>(3/2)^2*E57</f>
        <v>10.485</v>
      </c>
      <c r="D57" s="6">
        <v>7.98</v>
      </c>
      <c r="E57" s="6">
        <v>4.66</v>
      </c>
      <c r="F57" s="8">
        <f>-((D57-C57)/D57)</f>
        <v>0.3139097744360901</v>
      </c>
      <c r="G57" s="7">
        <f>C57-D57</f>
        <v>2.504999999999999</v>
      </c>
      <c r="H57" s="6">
        <v>1900</v>
      </c>
      <c r="I57" s="6" t="s">
        <v>31</v>
      </c>
    </row>
    <row r="58" spans="1:9" ht="12.75">
      <c r="A58" s="5"/>
      <c r="B58" s="5" t="s">
        <v>21</v>
      </c>
      <c r="C58" s="7">
        <f>(3/2)^2*E58</f>
        <v>20.1375</v>
      </c>
      <c r="D58" s="6">
        <v>14.86</v>
      </c>
      <c r="E58" s="6">
        <v>8.95</v>
      </c>
      <c r="F58" s="8">
        <f>-((D58-C58)/D58)</f>
        <v>0.35514804845222075</v>
      </c>
      <c r="G58" s="7">
        <f>C58-D58</f>
        <v>5.2775</v>
      </c>
      <c r="H58" s="6">
        <v>1900</v>
      </c>
      <c r="I58" s="6" t="s">
        <v>31</v>
      </c>
    </row>
    <row r="59" spans="1:9" ht="12.75">
      <c r="A59" s="5"/>
      <c r="B59" s="5" t="s">
        <v>22</v>
      </c>
      <c r="C59" s="7">
        <f>(3/2)^2*E59</f>
        <v>18.3825</v>
      </c>
      <c r="D59" s="6">
        <v>13.09</v>
      </c>
      <c r="E59" s="6">
        <v>8.17</v>
      </c>
      <c r="F59" s="8">
        <f>-((D59-C59)/D59)</f>
        <v>0.4043162719633308</v>
      </c>
      <c r="G59" s="7">
        <f>C59-D59</f>
        <v>5.2925</v>
      </c>
      <c r="H59" s="6">
        <v>1900</v>
      </c>
      <c r="I59" s="6" t="s">
        <v>31</v>
      </c>
    </row>
    <row r="60" spans="1:9" ht="12.75">
      <c r="A60" s="5"/>
      <c r="B60" s="5" t="s">
        <v>13</v>
      </c>
      <c r="C60" s="7">
        <f>(3/2)^2*E60</f>
        <v>14.4225</v>
      </c>
      <c r="D60" s="6">
        <v>10.81</v>
      </c>
      <c r="E60" s="6">
        <v>6.41</v>
      </c>
      <c r="F60" s="8">
        <f>-((D60-C60)/D60)</f>
        <v>0.33418131359851977</v>
      </c>
      <c r="G60" s="7">
        <f>C60-D60</f>
        <v>3.612499999999999</v>
      </c>
      <c r="H60" s="6">
        <v>1900</v>
      </c>
      <c r="I60" s="6" t="s">
        <v>31</v>
      </c>
    </row>
    <row r="61" spans="1:9" ht="12.75">
      <c r="A61" s="5"/>
      <c r="B61" s="5"/>
      <c r="C61" s="7"/>
      <c r="D61" s="14"/>
      <c r="E61" s="6" t="s">
        <v>14</v>
      </c>
      <c r="F61" s="8">
        <f>AVERAGE(F54:F60)</f>
        <v>0.3458579724856366</v>
      </c>
      <c r="G61" s="7">
        <f>AVERAGE(G54:G60)</f>
        <v>3.9282142857142857</v>
      </c>
      <c r="H61" s="6"/>
      <c r="I61" s="6"/>
    </row>
    <row r="62" spans="1:9" ht="12.75">
      <c r="A62" s="5"/>
      <c r="B62" s="5"/>
      <c r="C62" s="7"/>
      <c r="D62" s="6"/>
      <c r="E62" s="6"/>
      <c r="F62" s="8"/>
      <c r="G62" s="7"/>
      <c r="H62" s="6"/>
      <c r="I62" s="6"/>
    </row>
    <row r="63" spans="1:9" ht="12.75">
      <c r="A63" s="11" t="s">
        <v>0</v>
      </c>
      <c r="B63" s="1" t="s">
        <v>1</v>
      </c>
      <c r="C63" s="2" t="s">
        <v>33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</row>
    <row r="64" spans="1:9" ht="12.75">
      <c r="A64" s="1" t="s">
        <v>34</v>
      </c>
      <c r="B64" s="1" t="s">
        <v>27</v>
      </c>
      <c r="C64" s="3">
        <f>(3/2)^1.24*E64</f>
        <v>11.887267933486564</v>
      </c>
      <c r="D64" s="2">
        <v>11.53</v>
      </c>
      <c r="E64" s="2">
        <v>7.19</v>
      </c>
      <c r="F64" s="4">
        <f>-((D64-C64)/D64)</f>
        <v>0.030985943927715934</v>
      </c>
      <c r="G64" s="3">
        <f>C64-D64</f>
        <v>0.3572679334865647</v>
      </c>
      <c r="H64" s="2">
        <v>1585</v>
      </c>
      <c r="I64" s="2" t="s">
        <v>31</v>
      </c>
    </row>
    <row r="65" spans="1:9" ht="12.75">
      <c r="A65" s="1"/>
      <c r="B65" s="1" t="s">
        <v>18</v>
      </c>
      <c r="C65" s="3">
        <f>(3/2)^1.24*E65</f>
        <v>8.911317685882137</v>
      </c>
      <c r="D65" s="2">
        <v>8.98</v>
      </c>
      <c r="E65" s="2">
        <v>5.39</v>
      </c>
      <c r="F65" s="4">
        <f>-((D65-C65)/D65)</f>
        <v>-0.00764836460109835</v>
      </c>
      <c r="G65" s="3">
        <f>C65-D65</f>
        <v>-0.06868231411786319</v>
      </c>
      <c r="H65" s="2">
        <v>1585</v>
      </c>
      <c r="I65" s="2" t="s">
        <v>31</v>
      </c>
    </row>
    <row r="66" spans="1:9" ht="12.75">
      <c r="A66" s="1"/>
      <c r="B66" s="1" t="s">
        <v>10</v>
      </c>
      <c r="C66" s="3">
        <f>(3/2)^1.24*E66</f>
        <v>7.506007846735605</v>
      </c>
      <c r="D66" s="2">
        <v>7.63</v>
      </c>
      <c r="E66" s="2">
        <v>4.54</v>
      </c>
      <c r="F66" s="4">
        <f>-((D66-C66)/D66)</f>
        <v>-0.01625060986427199</v>
      </c>
      <c r="G66" s="3">
        <f>C66-D66</f>
        <v>-0.12399215326439528</v>
      </c>
      <c r="H66" s="2">
        <v>1585</v>
      </c>
      <c r="I66" s="2" t="s">
        <v>31</v>
      </c>
    </row>
    <row r="67" spans="1:9" ht="12.75">
      <c r="A67" s="1"/>
      <c r="B67" s="1" t="s">
        <v>12</v>
      </c>
      <c r="C67" s="3">
        <f>(3/2)^1.24*E67</f>
        <v>6.4313591462117845</v>
      </c>
      <c r="D67" s="2">
        <v>6.51</v>
      </c>
      <c r="E67" s="2">
        <v>3.89</v>
      </c>
      <c r="F67" s="4">
        <f>-((D67-C67)/D67)</f>
        <v>-0.012080008262398662</v>
      </c>
      <c r="G67" s="3">
        <f>C67-D67</f>
        <v>-0.07864085378821528</v>
      </c>
      <c r="H67" s="2">
        <v>1585</v>
      </c>
      <c r="I67" s="2" t="s">
        <v>31</v>
      </c>
    </row>
    <row r="68" spans="1:9" ht="12.75">
      <c r="A68" s="1"/>
      <c r="B68" s="1" t="s">
        <v>21</v>
      </c>
      <c r="C68" s="3">
        <f>(3/2)^1.24*E68</f>
        <v>10.59768949285798</v>
      </c>
      <c r="D68" s="2">
        <v>10.7</v>
      </c>
      <c r="E68" s="2">
        <v>6.41</v>
      </c>
      <c r="F68" s="4">
        <f>-((D68-C68)/D68)</f>
        <v>-0.009561729639441128</v>
      </c>
      <c r="G68" s="3">
        <f>C68-D68</f>
        <v>-0.10231050714202006</v>
      </c>
      <c r="H68" s="2">
        <v>1585</v>
      </c>
      <c r="I68" s="2" t="s">
        <v>31</v>
      </c>
    </row>
    <row r="69" spans="1:9" ht="12.75">
      <c r="A69" s="1"/>
      <c r="B69" s="1" t="s">
        <v>35</v>
      </c>
      <c r="C69" s="3">
        <f>(3/2)^1.24*E69</f>
        <v>10.796086176031608</v>
      </c>
      <c r="D69" s="2">
        <v>10.64</v>
      </c>
      <c r="E69" s="2">
        <v>6.53</v>
      </c>
      <c r="F69" s="4">
        <f>-((D69-C69)/D69)</f>
        <v>0.01466975338642925</v>
      </c>
      <c r="G69" s="3">
        <f>C69-D69</f>
        <v>0.15608617603160724</v>
      </c>
      <c r="H69" s="2">
        <v>1585</v>
      </c>
      <c r="I69" s="2" t="s">
        <v>31</v>
      </c>
    </row>
    <row r="70" spans="1:9" ht="12.75">
      <c r="A70" s="1"/>
      <c r="B70" s="1" t="s">
        <v>22</v>
      </c>
      <c r="C70" s="3">
        <f>(3/2)^1.24*E70</f>
        <v>9.969433329474823</v>
      </c>
      <c r="D70" s="2">
        <v>9.56</v>
      </c>
      <c r="E70" s="2">
        <v>6.03</v>
      </c>
      <c r="F70" s="4">
        <f>-((D70-C70)/D70)</f>
        <v>0.04282775412916553</v>
      </c>
      <c r="G70" s="3">
        <f>C70-D70</f>
        <v>0.40943332947482247</v>
      </c>
      <c r="H70" s="2">
        <v>1585</v>
      </c>
      <c r="I70" s="2" t="s">
        <v>31</v>
      </c>
    </row>
    <row r="71" spans="1:9" ht="12.75">
      <c r="A71" s="1"/>
      <c r="B71" s="1" t="s">
        <v>13</v>
      </c>
      <c r="C71" s="3">
        <f>(3/2)^1.24*E71</f>
        <v>7.820135928427183</v>
      </c>
      <c r="D71" s="12">
        <v>7.83</v>
      </c>
      <c r="E71" s="2">
        <v>4.73</v>
      </c>
      <c r="F71" s="4">
        <f>-((D71-C71)/D71)</f>
        <v>-0.0012597792557876531</v>
      </c>
      <c r="G71" s="3">
        <f>C71-D71</f>
        <v>-0.009864071572817323</v>
      </c>
      <c r="H71" s="2">
        <v>1585</v>
      </c>
      <c r="I71" s="2" t="s">
        <v>31</v>
      </c>
    </row>
    <row r="72" spans="2:9" ht="12.75">
      <c r="B72" s="1" t="s">
        <v>36</v>
      </c>
      <c r="C72" s="3">
        <f>(3/2)^1.24*E72</f>
        <v>7.14228059425062</v>
      </c>
      <c r="D72" s="2">
        <v>7.27</v>
      </c>
      <c r="E72" s="2">
        <v>4.32</v>
      </c>
      <c r="F72" s="4">
        <f>-((D72-C72)/D72)</f>
        <v>-0.01756800629289956</v>
      </c>
      <c r="G72" s="3">
        <f>C72-D72</f>
        <v>-0.1277194057493798</v>
      </c>
      <c r="H72" s="2">
        <v>1585</v>
      </c>
      <c r="I72" s="2" t="s">
        <v>31</v>
      </c>
    </row>
    <row r="73" spans="1:9" ht="12.75">
      <c r="A73" s="5"/>
      <c r="B73" s="5"/>
      <c r="C73" s="7"/>
      <c r="D73" s="6"/>
      <c r="E73" s="2" t="s">
        <v>14</v>
      </c>
      <c r="F73" s="4">
        <f>AVERAGE(F64:F72)</f>
        <v>0.002679439280823707</v>
      </c>
      <c r="G73" s="3">
        <f>AVERAGE(G64:G72)</f>
        <v>0.04573090370647817</v>
      </c>
      <c r="H73" s="6"/>
      <c r="I73" s="6"/>
    </row>
    <row r="74" ht="12.75">
      <c r="A74" s="5"/>
    </row>
    <row r="75" spans="1:9" ht="12.75">
      <c r="A75" s="13" t="s">
        <v>0</v>
      </c>
      <c r="B75" s="5" t="s">
        <v>1</v>
      </c>
      <c r="C75" s="6" t="s">
        <v>15</v>
      </c>
      <c r="D75" s="6" t="s">
        <v>3</v>
      </c>
      <c r="E75" s="6" t="s">
        <v>4</v>
      </c>
      <c r="F75" s="6" t="s">
        <v>5</v>
      </c>
      <c r="G75" s="6" t="s">
        <v>6</v>
      </c>
      <c r="H75" s="6" t="s">
        <v>7</v>
      </c>
      <c r="I75" s="6" t="s">
        <v>8</v>
      </c>
    </row>
    <row r="76" spans="1:9" ht="12.75">
      <c r="A76" s="5" t="s">
        <v>34</v>
      </c>
      <c r="B76" s="5" t="s">
        <v>27</v>
      </c>
      <c r="C76" s="7">
        <f>(3/2)^2*E76</f>
        <v>16.177500000000002</v>
      </c>
      <c r="D76" s="6">
        <v>11.53</v>
      </c>
      <c r="E76" s="6">
        <v>7.19</v>
      </c>
      <c r="F76" s="8">
        <f>-((D76-C76)/D76)</f>
        <v>0.4030789245446663</v>
      </c>
      <c r="G76" s="7">
        <f>C76-D76</f>
        <v>4.647500000000003</v>
      </c>
      <c r="H76" s="6">
        <v>1585</v>
      </c>
      <c r="I76" s="6" t="s">
        <v>31</v>
      </c>
    </row>
    <row r="77" spans="1:9" ht="12.75">
      <c r="A77" s="5"/>
      <c r="B77" s="5" t="s">
        <v>18</v>
      </c>
      <c r="C77" s="7">
        <f>(3/2)^2*E77</f>
        <v>12.1275</v>
      </c>
      <c r="D77" s="6">
        <v>8.98</v>
      </c>
      <c r="E77" s="6">
        <v>5.39</v>
      </c>
      <c r="F77" s="8">
        <f>-((D77-C77)/D77)</f>
        <v>0.350501113585746</v>
      </c>
      <c r="G77" s="7">
        <f>C77-D77</f>
        <v>3.147499999999999</v>
      </c>
      <c r="H77" s="6">
        <v>1585</v>
      </c>
      <c r="I77" s="6" t="s">
        <v>31</v>
      </c>
    </row>
    <row r="78" spans="1:9" ht="12.75">
      <c r="A78" s="5"/>
      <c r="B78" s="5" t="s">
        <v>10</v>
      </c>
      <c r="C78" s="7">
        <f>(3/2)^2*E78</f>
        <v>10.215</v>
      </c>
      <c r="D78" s="6">
        <v>7.63</v>
      </c>
      <c r="E78" s="6">
        <v>4.54</v>
      </c>
      <c r="F78" s="8">
        <f>-((D78-C78)/D78)</f>
        <v>0.33879423328964614</v>
      </c>
      <c r="G78" s="7">
        <f>C78-D78</f>
        <v>2.585</v>
      </c>
      <c r="H78" s="6">
        <v>1585</v>
      </c>
      <c r="I78" s="6" t="s">
        <v>31</v>
      </c>
    </row>
    <row r="79" spans="1:9" ht="12.75">
      <c r="A79" s="5"/>
      <c r="B79" s="5" t="s">
        <v>12</v>
      </c>
      <c r="C79" s="7">
        <f>(3/2)^2*E79</f>
        <v>8.7525</v>
      </c>
      <c r="D79" s="6">
        <v>6.51</v>
      </c>
      <c r="E79" s="6">
        <v>3.89</v>
      </c>
      <c r="F79" s="8">
        <f>-((D79-C79)/D79)</f>
        <v>0.3444700460829493</v>
      </c>
      <c r="G79" s="7">
        <f>C79-D79</f>
        <v>2.2424999999999997</v>
      </c>
      <c r="H79" s="6">
        <v>1585</v>
      </c>
      <c r="I79" s="6" t="s">
        <v>31</v>
      </c>
    </row>
    <row r="80" spans="1:9" ht="12.75">
      <c r="A80" s="5"/>
      <c r="B80" s="5" t="s">
        <v>21</v>
      </c>
      <c r="C80" s="7">
        <f>(3/2)^2*E80</f>
        <v>14.4225</v>
      </c>
      <c r="D80" s="6">
        <v>10.7</v>
      </c>
      <c r="E80" s="6">
        <v>6.41</v>
      </c>
      <c r="F80" s="8">
        <f>-((D80-C80)/D80)</f>
        <v>0.3478971962616823</v>
      </c>
      <c r="G80" s="7">
        <f>C80-D80</f>
        <v>3.7225</v>
      </c>
      <c r="H80" s="6">
        <v>1585</v>
      </c>
      <c r="I80" s="6" t="s">
        <v>31</v>
      </c>
    </row>
    <row r="81" spans="1:9" ht="12.75">
      <c r="A81" s="5"/>
      <c r="B81" s="5" t="s">
        <v>35</v>
      </c>
      <c r="C81" s="7">
        <f>(3/2)^2*E81</f>
        <v>14.6925</v>
      </c>
      <c r="D81" s="6">
        <v>10.64</v>
      </c>
      <c r="E81" s="6">
        <v>6.53</v>
      </c>
      <c r="F81" s="8">
        <f>-((D81-C81)/D81)</f>
        <v>0.38087406015037595</v>
      </c>
      <c r="G81" s="7">
        <f>C81-D81</f>
        <v>4.0525</v>
      </c>
      <c r="H81" s="6">
        <v>1585</v>
      </c>
      <c r="I81" s="6" t="s">
        <v>31</v>
      </c>
    </row>
    <row r="82" spans="1:9" ht="12.75">
      <c r="A82" s="5"/>
      <c r="B82" s="5" t="s">
        <v>22</v>
      </c>
      <c r="C82" s="7">
        <f>(3/2)^2*E82</f>
        <v>13.5675</v>
      </c>
      <c r="D82" s="6">
        <v>9.56</v>
      </c>
      <c r="E82" s="6">
        <v>6.03</v>
      </c>
      <c r="F82" s="8">
        <f>-((D82-C82)/D82)</f>
        <v>0.4191945606694561</v>
      </c>
      <c r="G82" s="7">
        <f>C82-D82</f>
        <v>4.0075</v>
      </c>
      <c r="H82" s="6">
        <v>1585</v>
      </c>
      <c r="I82" s="6" t="s">
        <v>31</v>
      </c>
    </row>
    <row r="83" spans="1:9" ht="12.75">
      <c r="A83" s="5"/>
      <c r="B83" s="5" t="s">
        <v>13</v>
      </c>
      <c r="C83" s="7">
        <f>(3/2)^2*E83</f>
        <v>10.642500000000002</v>
      </c>
      <c r="D83" s="14">
        <v>7.83</v>
      </c>
      <c r="E83" s="6">
        <v>4.73</v>
      </c>
      <c r="F83" s="8">
        <f>-((D83-C83)/D83)</f>
        <v>0.3591954022988508</v>
      </c>
      <c r="G83" s="7">
        <f>C83-D83</f>
        <v>2.8125000000000018</v>
      </c>
      <c r="H83" s="6">
        <v>1585</v>
      </c>
      <c r="I83" s="6" t="s">
        <v>31</v>
      </c>
    </row>
    <row r="84" spans="1:9" ht="12.75">
      <c r="A84" s="5"/>
      <c r="B84" s="5" t="s">
        <v>36</v>
      </c>
      <c r="C84" s="7">
        <f>(3/2)^2*E84</f>
        <v>9.72</v>
      </c>
      <c r="D84" s="6">
        <v>7.27</v>
      </c>
      <c r="E84" s="6">
        <v>4.32</v>
      </c>
      <c r="F84" s="8">
        <f>-((D84-C84)/D84)</f>
        <v>0.3370013755158186</v>
      </c>
      <c r="G84" s="7">
        <f>C84-D84</f>
        <v>2.450000000000001</v>
      </c>
      <c r="H84" s="6">
        <v>1585</v>
      </c>
      <c r="I84" s="6" t="s">
        <v>31</v>
      </c>
    </row>
    <row r="85" spans="1:9" ht="12.75">
      <c r="A85" s="5"/>
      <c r="B85" s="5"/>
      <c r="C85" s="7"/>
      <c r="D85" s="6"/>
      <c r="E85" s="6" t="s">
        <v>14</v>
      </c>
      <c r="F85" s="8">
        <f>AVERAGE(F76:F84)</f>
        <v>0.3645563235999102</v>
      </c>
      <c r="G85" s="7">
        <f>AVERAGE(G76:G84)</f>
        <v>3.2963888888888895</v>
      </c>
      <c r="H85" s="6"/>
      <c r="I85" s="6"/>
    </row>
    <row r="86" ht="12.75">
      <c r="A86" s="5"/>
    </row>
    <row r="87" spans="1:9" ht="12.75">
      <c r="A87" s="11" t="s">
        <v>0</v>
      </c>
      <c r="B87" s="1" t="s">
        <v>1</v>
      </c>
      <c r="C87" s="2" t="s">
        <v>37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</row>
    <row r="88" spans="1:9" ht="12.75">
      <c r="A88" s="1" t="s">
        <v>38</v>
      </c>
      <c r="B88" s="1" t="s">
        <v>39</v>
      </c>
      <c r="C88" s="3">
        <f>(3/2)^1.29*E88</f>
        <v>10.291710451202103</v>
      </c>
      <c r="D88" s="2">
        <v>9.98</v>
      </c>
      <c r="E88" s="2">
        <v>6.1</v>
      </c>
      <c r="F88" s="4">
        <f>-((D88-C88)/D88)</f>
        <v>0.031233512144499292</v>
      </c>
      <c r="G88" s="3">
        <f>C88-D88</f>
        <v>0.31171045120210294</v>
      </c>
      <c r="H88" s="2">
        <v>1490</v>
      </c>
      <c r="I88" s="2" t="s">
        <v>31</v>
      </c>
    </row>
    <row r="89" spans="1:9" ht="12.75">
      <c r="A89" s="1"/>
      <c r="B89" s="1" t="s">
        <v>27</v>
      </c>
      <c r="C89" s="3">
        <f>(3/2)^1.29*E89</f>
        <v>11.422111435186597</v>
      </c>
      <c r="D89" s="2">
        <v>11.11</v>
      </c>
      <c r="E89" s="2">
        <v>6.77</v>
      </c>
      <c r="F89" s="4">
        <f>-((D89-C89)/D89)</f>
        <v>0.028092838450638855</v>
      </c>
      <c r="G89" s="3">
        <f>C89-D89</f>
        <v>0.3121114351865977</v>
      </c>
      <c r="H89" s="2">
        <v>1490</v>
      </c>
      <c r="I89" s="2" t="s">
        <v>31</v>
      </c>
    </row>
    <row r="90" spans="1:9" ht="12.75">
      <c r="A90" s="1"/>
      <c r="B90" s="1" t="s">
        <v>40</v>
      </c>
      <c r="C90" s="3">
        <f>(3/2)^1.29*E90</f>
        <v>9.988020634609255</v>
      </c>
      <c r="D90" s="2">
        <v>9.81</v>
      </c>
      <c r="E90" s="2">
        <v>5.92</v>
      </c>
      <c r="F90" s="4">
        <f>-((D90-C90)/D90)</f>
        <v>0.018146853680861785</v>
      </c>
      <c r="G90" s="3">
        <f>C90-D90</f>
        <v>0.1780206346092541</v>
      </c>
      <c r="H90" s="2">
        <v>1490</v>
      </c>
      <c r="I90" s="2" t="s">
        <v>31</v>
      </c>
    </row>
    <row r="91" spans="1:9" ht="12.75">
      <c r="A91" s="1"/>
      <c r="B91" s="1" t="s">
        <v>41</v>
      </c>
      <c r="C91" s="3">
        <f>(3/2)^1.29*E91</f>
        <v>10.426683703021148</v>
      </c>
      <c r="D91" s="2">
        <v>10.37</v>
      </c>
      <c r="E91" s="2">
        <v>6.18</v>
      </c>
      <c r="F91" s="4">
        <f>-((D91-C91)/D91)</f>
        <v>0.005466123724315183</v>
      </c>
      <c r="G91" s="3">
        <f>C91-D91</f>
        <v>0.056683703021148446</v>
      </c>
      <c r="H91" s="2">
        <v>1490</v>
      </c>
      <c r="I91" s="2" t="s">
        <v>31</v>
      </c>
    </row>
    <row r="92" spans="1:9" ht="12.75">
      <c r="A92" s="1"/>
      <c r="B92" s="1" t="s">
        <v>42</v>
      </c>
      <c r="C92" s="3">
        <f>(3/2)^1.29*E92</f>
        <v>10.646015237227093</v>
      </c>
      <c r="D92" s="2">
        <v>10.5</v>
      </c>
      <c r="E92" s="2">
        <v>6.31</v>
      </c>
      <c r="F92" s="4">
        <f>-((D92-C92)/D92)</f>
        <v>0.013906213069246982</v>
      </c>
      <c r="G92" s="3">
        <f>C92-D92</f>
        <v>0.1460152372270933</v>
      </c>
      <c r="H92" s="2">
        <v>1490</v>
      </c>
      <c r="I92" s="2" t="s">
        <v>31</v>
      </c>
    </row>
    <row r="93" spans="1:9" ht="12.75">
      <c r="A93" s="1"/>
      <c r="B93" s="1" t="s">
        <v>21</v>
      </c>
      <c r="C93" s="3">
        <f>(3/2)^1.29*E93</f>
        <v>8.655159772896196</v>
      </c>
      <c r="D93" s="2">
        <v>9.05</v>
      </c>
      <c r="E93" s="2">
        <v>5.13</v>
      </c>
      <c r="F93" s="4">
        <f>-((D93-C93)/D93)</f>
        <v>-0.043628754376110995</v>
      </c>
      <c r="G93" s="3">
        <f>C93-D93</f>
        <v>-0.3948402271038045</v>
      </c>
      <c r="H93" s="2">
        <v>1490</v>
      </c>
      <c r="I93" s="2" t="s">
        <v>31</v>
      </c>
    </row>
    <row r="94" spans="1:9" ht="12.75">
      <c r="A94" s="1"/>
      <c r="B94" s="1" t="s">
        <v>35</v>
      </c>
      <c r="C94" s="3">
        <f>(3/2)^1.29*E94</f>
        <v>8.925106276534285</v>
      </c>
      <c r="D94" s="2">
        <v>9.15</v>
      </c>
      <c r="E94" s="2">
        <v>5.29</v>
      </c>
      <c r="F94" s="4">
        <f>-((D94-C94)/D94)</f>
        <v>-0.02457854901264651</v>
      </c>
      <c r="G94" s="3">
        <f>C94-D94</f>
        <v>-0.22489372346571557</v>
      </c>
      <c r="H94" s="2">
        <v>1490</v>
      </c>
      <c r="I94" s="2" t="s">
        <v>31</v>
      </c>
    </row>
    <row r="95" spans="1:9" ht="12.75">
      <c r="A95" s="1"/>
      <c r="B95" s="1" t="s">
        <v>22</v>
      </c>
      <c r="C95" s="3">
        <f>(3/2)^1.29*E95</f>
        <v>8.165881735052162</v>
      </c>
      <c r="D95" s="2">
        <v>8.2</v>
      </c>
      <c r="E95" s="2">
        <v>4.84</v>
      </c>
      <c r="F95" s="4">
        <f>-((D95-C95)/D95)</f>
        <v>-0.004160764018028941</v>
      </c>
      <c r="G95" s="3">
        <f>C95-D95</f>
        <v>-0.03411826494783732</v>
      </c>
      <c r="H95" s="2">
        <v>1490</v>
      </c>
      <c r="I95" s="2" t="s">
        <v>31</v>
      </c>
    </row>
    <row r="96" spans="2:8" ht="12.75">
      <c r="B96" s="15"/>
      <c r="C96" s="15"/>
      <c r="D96" s="16"/>
      <c r="E96" s="2" t="s">
        <v>14</v>
      </c>
      <c r="F96" s="4">
        <f>AVERAGE(F88:F95)</f>
        <v>0.0030596842078469567</v>
      </c>
      <c r="G96" s="3">
        <f>AVERAGE(G88:G95)</f>
        <v>0.043836155716104885</v>
      </c>
      <c r="H96" s="16"/>
    </row>
    <row r="97" spans="2:8" ht="12.75">
      <c r="B97" s="15"/>
      <c r="C97" s="15"/>
      <c r="D97" s="16"/>
      <c r="E97" s="2"/>
      <c r="F97" s="4"/>
      <c r="G97" s="3"/>
      <c r="H97" s="16"/>
    </row>
    <row r="98" spans="1:9" ht="12.75">
      <c r="A98" s="13" t="s">
        <v>0</v>
      </c>
      <c r="B98" s="5" t="s">
        <v>1</v>
      </c>
      <c r="C98" s="6" t="s">
        <v>15</v>
      </c>
      <c r="D98" s="6" t="s">
        <v>3</v>
      </c>
      <c r="E98" s="6" t="s">
        <v>4</v>
      </c>
      <c r="F98" s="6" t="s">
        <v>5</v>
      </c>
      <c r="G98" s="6" t="s">
        <v>6</v>
      </c>
      <c r="H98" s="6" t="s">
        <v>7</v>
      </c>
      <c r="I98" s="6" t="s">
        <v>8</v>
      </c>
    </row>
    <row r="99" spans="1:9" ht="12.75">
      <c r="A99" s="5" t="s">
        <v>38</v>
      </c>
      <c r="B99" s="5" t="s">
        <v>39</v>
      </c>
      <c r="C99" s="7">
        <f>(3/2)^2*E99</f>
        <v>13.725</v>
      </c>
      <c r="D99" s="6">
        <v>9.98</v>
      </c>
      <c r="E99" s="6">
        <v>6.1</v>
      </c>
      <c r="F99" s="8">
        <f>-((D99-C99)/D99)</f>
        <v>0.3752505010020039</v>
      </c>
      <c r="G99" s="7">
        <f>C99-D99</f>
        <v>3.744999999999999</v>
      </c>
      <c r="H99" s="6">
        <v>1490</v>
      </c>
      <c r="I99" s="6" t="s">
        <v>31</v>
      </c>
    </row>
    <row r="100" spans="1:9" ht="12.75">
      <c r="A100" s="5"/>
      <c r="B100" s="5" t="s">
        <v>27</v>
      </c>
      <c r="C100" s="7">
        <f>(3/2)^2*E100</f>
        <v>15.232499999999998</v>
      </c>
      <c r="D100" s="6">
        <v>11.11</v>
      </c>
      <c r="E100" s="6">
        <v>6.77</v>
      </c>
      <c r="F100" s="8">
        <f>-((D100-C100)/D100)</f>
        <v>0.37106210621062097</v>
      </c>
      <c r="G100" s="7">
        <f>C100-D100</f>
        <v>4.122499999999999</v>
      </c>
      <c r="H100" s="6">
        <v>1490</v>
      </c>
      <c r="I100" s="6" t="s">
        <v>31</v>
      </c>
    </row>
    <row r="101" spans="1:9" ht="12.75">
      <c r="A101" s="5"/>
      <c r="B101" s="5" t="s">
        <v>40</v>
      </c>
      <c r="C101" s="7">
        <f>(3/2)^2*E101</f>
        <v>13.32</v>
      </c>
      <c r="D101" s="6">
        <v>9.81</v>
      </c>
      <c r="E101" s="6">
        <v>5.92</v>
      </c>
      <c r="F101" s="8">
        <f>-((D101-C101)/D101)</f>
        <v>0.35779816513761464</v>
      </c>
      <c r="G101" s="7">
        <f>C101-D101</f>
        <v>3.51</v>
      </c>
      <c r="H101" s="6">
        <v>1490</v>
      </c>
      <c r="I101" s="6" t="s">
        <v>31</v>
      </c>
    </row>
    <row r="102" spans="1:9" ht="12.75">
      <c r="A102" s="5"/>
      <c r="B102" s="5" t="s">
        <v>41</v>
      </c>
      <c r="C102" s="7">
        <f>(3/2)^2*E102</f>
        <v>13.905</v>
      </c>
      <c r="D102" s="6">
        <v>10.37</v>
      </c>
      <c r="E102" s="6">
        <v>6.18</v>
      </c>
      <c r="F102" s="8">
        <f>-((D102-C102)/D102)</f>
        <v>0.34088717454194795</v>
      </c>
      <c r="G102" s="7">
        <f>C102-D102</f>
        <v>3.535</v>
      </c>
      <c r="H102" s="6">
        <v>1490</v>
      </c>
      <c r="I102" s="6" t="s">
        <v>31</v>
      </c>
    </row>
    <row r="103" spans="1:9" ht="12.75">
      <c r="A103" s="5"/>
      <c r="B103" s="5" t="s">
        <v>42</v>
      </c>
      <c r="C103" s="7">
        <f>(3/2)^2*E103</f>
        <v>14.1975</v>
      </c>
      <c r="D103" s="6">
        <v>10.5</v>
      </c>
      <c r="E103" s="6">
        <v>6.31</v>
      </c>
      <c r="F103" s="8">
        <f>-((D103-C103)/D103)</f>
        <v>0.35214285714285715</v>
      </c>
      <c r="G103" s="7">
        <f>C103-D103</f>
        <v>3.6975</v>
      </c>
      <c r="H103" s="6">
        <v>1490</v>
      </c>
      <c r="I103" s="6" t="s">
        <v>31</v>
      </c>
    </row>
    <row r="104" spans="1:9" ht="12.75">
      <c r="A104" s="5"/>
      <c r="B104" s="5" t="s">
        <v>21</v>
      </c>
      <c r="C104" s="7">
        <f>(3/2)^2*E104</f>
        <v>11.5425</v>
      </c>
      <c r="D104" s="6">
        <v>9.05</v>
      </c>
      <c r="E104" s="6">
        <v>5.13</v>
      </c>
      <c r="F104" s="8">
        <f>-((D104-C104)/D104)</f>
        <v>0.2754143646408839</v>
      </c>
      <c r="G104" s="7">
        <f>C104-D104</f>
        <v>2.4924999999999997</v>
      </c>
      <c r="H104" s="6">
        <v>1490</v>
      </c>
      <c r="I104" s="6" t="s">
        <v>31</v>
      </c>
    </row>
    <row r="105" spans="1:9" ht="12.75">
      <c r="A105" s="5"/>
      <c r="B105" s="5" t="s">
        <v>35</v>
      </c>
      <c r="C105" s="7">
        <f>(3/2)^2*E105</f>
        <v>11.9025</v>
      </c>
      <c r="D105" s="6">
        <v>9.15</v>
      </c>
      <c r="E105" s="6">
        <v>5.29</v>
      </c>
      <c r="F105" s="8">
        <f>-((D105-C105)/D105)</f>
        <v>0.30081967213114746</v>
      </c>
      <c r="G105" s="7">
        <f>C105-D105</f>
        <v>2.7524999999999995</v>
      </c>
      <c r="H105" s="6">
        <v>1490</v>
      </c>
      <c r="I105" s="6" t="s">
        <v>31</v>
      </c>
    </row>
    <row r="106" spans="1:9" ht="12.75">
      <c r="A106" s="5"/>
      <c r="B106" s="5" t="s">
        <v>22</v>
      </c>
      <c r="C106" s="7">
        <f>(3/2)^2*E106</f>
        <v>10.89</v>
      </c>
      <c r="D106" s="6">
        <v>8.2</v>
      </c>
      <c r="E106" s="6">
        <v>4.84</v>
      </c>
      <c r="F106" s="8">
        <f>-((D106-C106)/D106)</f>
        <v>0.32804878048780506</v>
      </c>
      <c r="G106" s="7">
        <f>C106-D106</f>
        <v>2.6900000000000013</v>
      </c>
      <c r="H106" s="6">
        <v>1490</v>
      </c>
      <c r="I106" s="6" t="s">
        <v>31</v>
      </c>
    </row>
    <row r="107" spans="1:9" ht="12.75">
      <c r="A107" s="5"/>
      <c r="B107" s="17"/>
      <c r="C107" s="17"/>
      <c r="D107" s="18"/>
      <c r="E107" s="6" t="s">
        <v>14</v>
      </c>
      <c r="F107" s="8">
        <f>AVERAGE(F99:F106)</f>
        <v>0.33767795266186007</v>
      </c>
      <c r="G107" s="7">
        <f>AVERAGE(G99:G106)</f>
        <v>3.318125</v>
      </c>
      <c r="H107" s="18"/>
      <c r="I107" s="5"/>
    </row>
    <row r="108" spans="1:9" ht="12.75">
      <c r="A108" s="5"/>
      <c r="B108" s="17"/>
      <c r="C108" s="17"/>
      <c r="D108" s="18"/>
      <c r="E108" s="6"/>
      <c r="F108" s="8"/>
      <c r="G108" s="7"/>
      <c r="H108" s="18"/>
      <c r="I108" s="5"/>
    </row>
    <row r="109" spans="1:9" ht="12.75">
      <c r="A109" s="11" t="s">
        <v>0</v>
      </c>
      <c r="B109" s="1" t="s">
        <v>1</v>
      </c>
      <c r="C109" s="2" t="s">
        <v>23</v>
      </c>
      <c r="D109" s="2" t="s">
        <v>3</v>
      </c>
      <c r="E109" s="2" t="s">
        <v>4</v>
      </c>
      <c r="F109" s="2" t="s">
        <v>5</v>
      </c>
      <c r="G109" s="2" t="s">
        <v>6</v>
      </c>
      <c r="H109" s="2" t="s">
        <v>7</v>
      </c>
      <c r="I109" s="2" t="s">
        <v>8</v>
      </c>
    </row>
    <row r="110" spans="1:9" ht="12.75">
      <c r="A110" s="1" t="s">
        <v>43</v>
      </c>
      <c r="B110" s="1" t="s">
        <v>44</v>
      </c>
      <c r="C110" s="3">
        <f>(3/2)^1.34*E110</f>
        <v>19.059429987954346</v>
      </c>
      <c r="D110" s="2">
        <v>16.86</v>
      </c>
      <c r="E110" s="2">
        <v>11.07</v>
      </c>
      <c r="F110" s="4">
        <f>-((D110-C110)/D110)</f>
        <v>0.13045254970073228</v>
      </c>
      <c r="G110" s="3">
        <f>C110-D110</f>
        <v>2.199429987954346</v>
      </c>
      <c r="H110" s="2">
        <v>1280</v>
      </c>
      <c r="I110" s="2" t="s">
        <v>45</v>
      </c>
    </row>
    <row r="111" spans="1:9" ht="12.75">
      <c r="A111" s="1"/>
      <c r="B111" s="1" t="s">
        <v>46</v>
      </c>
      <c r="C111" s="3">
        <f>(3/2)^1.34*E111</f>
        <v>14.582960433421258</v>
      </c>
      <c r="D111" s="2">
        <v>13.95</v>
      </c>
      <c r="E111" s="2">
        <v>8.47</v>
      </c>
      <c r="F111" s="4">
        <f>-((D111-C111)/D111)</f>
        <v>0.04537350777213324</v>
      </c>
      <c r="G111" s="3">
        <f>C111-D111</f>
        <v>0.6329604334212586</v>
      </c>
      <c r="H111" s="2">
        <v>1280</v>
      </c>
      <c r="I111" s="2" t="s">
        <v>45</v>
      </c>
    </row>
    <row r="112" spans="1:9" ht="12.75">
      <c r="A112" s="1"/>
      <c r="B112" s="1" t="s">
        <v>39</v>
      </c>
      <c r="C112" s="3">
        <f>(3/2)^1.34*E112</f>
        <v>8.608595297179019</v>
      </c>
      <c r="D112" s="2">
        <v>8.76</v>
      </c>
      <c r="E112" s="2">
        <v>5</v>
      </c>
      <c r="F112" s="4">
        <f>-((D112-C112)/D112)</f>
        <v>-0.017283641874541244</v>
      </c>
      <c r="G112" s="3">
        <f>C112-D112</f>
        <v>-0.15140470282098129</v>
      </c>
      <c r="H112" s="2">
        <v>1280</v>
      </c>
      <c r="I112" s="2" t="s">
        <v>45</v>
      </c>
    </row>
    <row r="113" spans="1:9" ht="12.75">
      <c r="A113" s="1"/>
      <c r="B113" s="1" t="s">
        <v>47</v>
      </c>
      <c r="C113" s="3">
        <f>(3/2)^1.34*E113</f>
        <v>15.392168391356083</v>
      </c>
      <c r="D113" s="2">
        <v>14.94</v>
      </c>
      <c r="E113" s="2">
        <v>8.94</v>
      </c>
      <c r="F113" s="4">
        <f>-((D113-C113)/D113)</f>
        <v>0.030265621911384464</v>
      </c>
      <c r="G113" s="3">
        <f>C113-D113</f>
        <v>0.4521683913560839</v>
      </c>
      <c r="H113" s="2">
        <v>1280</v>
      </c>
      <c r="I113" s="2" t="s">
        <v>45</v>
      </c>
    </row>
    <row r="114" spans="1:9" ht="12.75">
      <c r="A114" s="1"/>
      <c r="B114" s="1" t="s">
        <v>25</v>
      </c>
      <c r="C114" s="3">
        <f>(3/2)^1.34*E114</f>
        <v>13.102282042306467</v>
      </c>
      <c r="D114" s="2">
        <v>13.32</v>
      </c>
      <c r="E114" s="2">
        <v>7.61</v>
      </c>
      <c r="F114" s="4">
        <f>-((D114-C114)/D114)</f>
        <v>-0.016345192019034064</v>
      </c>
      <c r="G114" s="3">
        <f>C114-D114</f>
        <v>-0.21771795769353375</v>
      </c>
      <c r="H114" s="2">
        <v>1280</v>
      </c>
      <c r="I114" s="2" t="s">
        <v>45</v>
      </c>
    </row>
    <row r="115" spans="1:9" ht="12.75">
      <c r="A115" s="1"/>
      <c r="B115" s="1" t="s">
        <v>26</v>
      </c>
      <c r="C115" s="3">
        <f>(3/2)^1.34*E115</f>
        <v>10.812395693256848</v>
      </c>
      <c r="D115" s="2">
        <v>11.04</v>
      </c>
      <c r="E115" s="2">
        <v>6.28</v>
      </c>
      <c r="F115" s="4">
        <f>-((D115-C115)/D115)</f>
        <v>-0.020616332132531816</v>
      </c>
      <c r="G115" s="3">
        <f>C115-D115</f>
        <v>-0.22760430674315124</v>
      </c>
      <c r="H115" s="2">
        <v>1280</v>
      </c>
      <c r="I115" s="2" t="s">
        <v>45</v>
      </c>
    </row>
    <row r="116" spans="1:9" ht="12.75">
      <c r="A116" s="1"/>
      <c r="B116" s="1" t="s">
        <v>27</v>
      </c>
      <c r="C116" s="3">
        <f>(3/2)^1.34*E116</f>
        <v>9.779364257595365</v>
      </c>
      <c r="D116" s="2">
        <v>10.32</v>
      </c>
      <c r="E116" s="2">
        <v>5.68</v>
      </c>
      <c r="F116" s="4">
        <f>-((D116-C116)/D116)</f>
        <v>-0.05238718434153445</v>
      </c>
      <c r="G116" s="3">
        <f>C116-D116</f>
        <v>-0.5406357424046355</v>
      </c>
      <c r="H116" s="2">
        <v>1280</v>
      </c>
      <c r="I116" s="2" t="s">
        <v>45</v>
      </c>
    </row>
    <row r="117" spans="1:9" ht="12.75">
      <c r="A117" s="1"/>
      <c r="B117" s="1" t="s">
        <v>40</v>
      </c>
      <c r="C117" s="3">
        <f>(3/2)^1.34*E117</f>
        <v>8.333120247669289</v>
      </c>
      <c r="D117" s="2">
        <v>8.74</v>
      </c>
      <c r="E117" s="2">
        <v>4.84</v>
      </c>
      <c r="F117" s="4">
        <f>-((D117-C117)/D117)</f>
        <v>-0.04655374740625989</v>
      </c>
      <c r="G117" s="3">
        <f>C117-D117</f>
        <v>-0.4068797523307115</v>
      </c>
      <c r="H117" s="2">
        <v>1280</v>
      </c>
      <c r="I117" s="2" t="s">
        <v>45</v>
      </c>
    </row>
    <row r="118" spans="1:9" ht="12.75">
      <c r="A118" s="5"/>
      <c r="B118" s="1" t="s">
        <v>48</v>
      </c>
      <c r="C118" s="3">
        <f>(3/2)^1.34*E118</f>
        <v>14.63461200520433</v>
      </c>
      <c r="D118" s="2">
        <v>13.98</v>
      </c>
      <c r="E118" s="2">
        <v>8.5</v>
      </c>
      <c r="F118" s="4">
        <f>-((D118-C118)/D118)</f>
        <v>0.0468248930761323</v>
      </c>
      <c r="G118" s="3">
        <f>C118-D118</f>
        <v>0.6546120052043296</v>
      </c>
      <c r="H118" s="2">
        <v>1280</v>
      </c>
      <c r="I118" s="2" t="s">
        <v>45</v>
      </c>
    </row>
    <row r="119" spans="1:9" ht="12.75">
      <c r="A119" s="5"/>
      <c r="B119" s="1" t="s">
        <v>49</v>
      </c>
      <c r="C119" s="3">
        <f>(3/2)^1.34*E119</f>
        <v>13.894272809646935</v>
      </c>
      <c r="D119" s="2">
        <v>14.04</v>
      </c>
      <c r="E119" s="2">
        <v>8.07</v>
      </c>
      <c r="F119" s="4">
        <f>-((D119-C119)/D119)</f>
        <v>-0.010379429512326491</v>
      </c>
      <c r="G119" s="3">
        <f>C119-D119</f>
        <v>-0.14572719035306392</v>
      </c>
      <c r="H119" s="2">
        <v>1280</v>
      </c>
      <c r="I119" s="2" t="s">
        <v>45</v>
      </c>
    </row>
    <row r="120" spans="1:9" ht="12.75">
      <c r="A120" s="5"/>
      <c r="B120" s="1" t="s">
        <v>50</v>
      </c>
      <c r="C120" s="3">
        <f>(3/2)^1.34*E120</f>
        <v>16.976149926037024</v>
      </c>
      <c r="D120" s="2">
        <v>15.95</v>
      </c>
      <c r="E120" s="2">
        <v>9.86</v>
      </c>
      <c r="F120" s="4">
        <f>-((D120-C120)/D120)</f>
        <v>0.06433541856031505</v>
      </c>
      <c r="G120" s="3">
        <f>C120-D120</f>
        <v>1.026149926037025</v>
      </c>
      <c r="H120" s="2">
        <v>1280</v>
      </c>
      <c r="I120" s="2" t="s">
        <v>45</v>
      </c>
    </row>
    <row r="121" spans="1:9" ht="12.75">
      <c r="A121" s="5"/>
      <c r="B121" s="1" t="s">
        <v>28</v>
      </c>
      <c r="C121" s="3">
        <f>(3/2)^1.34*E121</f>
        <v>10.881264455634279</v>
      </c>
      <c r="D121" s="2">
        <v>11.67</v>
      </c>
      <c r="E121" s="2">
        <v>6.32</v>
      </c>
      <c r="F121" s="4">
        <f>-((D121-C121)/D121)</f>
        <v>-0.06758659334753396</v>
      </c>
      <c r="G121" s="3">
        <f>C121-D121</f>
        <v>-0.7887355443657214</v>
      </c>
      <c r="H121" s="2">
        <v>1280</v>
      </c>
      <c r="I121" s="2" t="s">
        <v>45</v>
      </c>
    </row>
    <row r="122" spans="1:9" ht="12.75">
      <c r="A122" s="5"/>
      <c r="B122" s="1" t="s">
        <v>51</v>
      </c>
      <c r="C122" s="3">
        <f>(3/2)^1.34*E122</f>
        <v>9.968753354133304</v>
      </c>
      <c r="D122" s="2">
        <v>10.68</v>
      </c>
      <c r="E122" s="2">
        <v>5.79</v>
      </c>
      <c r="F122" s="4">
        <f>-((D122-C122)/D122)</f>
        <v>-0.06659612789014009</v>
      </c>
      <c r="G122" s="3">
        <f>C122-D122</f>
        <v>-0.7112466458666962</v>
      </c>
      <c r="H122" s="2">
        <v>1280</v>
      </c>
      <c r="I122" s="2" t="s">
        <v>45</v>
      </c>
    </row>
    <row r="123" spans="1:9" ht="12.75">
      <c r="A123" s="5"/>
      <c r="B123" s="1" t="s">
        <v>52</v>
      </c>
      <c r="C123" s="3">
        <f>(3/2)^1.34*E123</f>
        <v>13.515494616571058</v>
      </c>
      <c r="D123" s="2">
        <v>13.45</v>
      </c>
      <c r="E123" s="2">
        <v>7.85</v>
      </c>
      <c r="F123" s="4">
        <f>-((D123-C123)/D123)</f>
        <v>0.004869488220896534</v>
      </c>
      <c r="G123" s="3">
        <f>C123-D123</f>
        <v>0.06549461657105837</v>
      </c>
      <c r="H123" s="2">
        <v>1280</v>
      </c>
      <c r="I123" s="2" t="s">
        <v>45</v>
      </c>
    </row>
    <row r="124" spans="1:9" ht="12.75">
      <c r="A124" s="5"/>
      <c r="B124" s="1" t="s">
        <v>53</v>
      </c>
      <c r="C124" s="3">
        <f>(3/2)^1.34*E124</f>
        <v>15.805380965620676</v>
      </c>
      <c r="D124" s="2">
        <v>15.59</v>
      </c>
      <c r="E124" s="2">
        <v>9.18</v>
      </c>
      <c r="F124" s="4">
        <f>-((D124-C124)/D124)</f>
        <v>0.013815328134745121</v>
      </c>
      <c r="G124" s="3">
        <f>C124-D124</f>
        <v>0.21538096562067643</v>
      </c>
      <c r="H124" s="2">
        <v>1280</v>
      </c>
      <c r="I124" s="2" t="s">
        <v>45</v>
      </c>
    </row>
    <row r="125" spans="1:9" ht="12.75">
      <c r="A125" s="5"/>
      <c r="B125" s="17"/>
      <c r="C125" s="17"/>
      <c r="D125" s="18"/>
      <c r="E125" s="2" t="s">
        <v>14</v>
      </c>
      <c r="F125" s="4">
        <f>AVERAGE(F110:F124)</f>
        <v>0.0025459039234957976</v>
      </c>
      <c r="G125" s="3">
        <f>AVERAGE(G110:G124)</f>
        <v>0.1370829655724189</v>
      </c>
      <c r="H125" s="18"/>
      <c r="I125" s="5"/>
    </row>
    <row r="126" spans="1:9" ht="12.75">
      <c r="A126" s="5"/>
      <c r="B126" s="17"/>
      <c r="C126" s="17"/>
      <c r="D126" s="18"/>
      <c r="E126" s="2"/>
      <c r="F126" s="4"/>
      <c r="G126" s="3"/>
      <c r="H126" s="18"/>
      <c r="I126" s="5"/>
    </row>
    <row r="127" spans="1:9" ht="12.75">
      <c r="A127" s="13" t="s">
        <v>0</v>
      </c>
      <c r="B127" s="5" t="s">
        <v>1</v>
      </c>
      <c r="C127" s="6" t="s">
        <v>15</v>
      </c>
      <c r="D127" s="6" t="s">
        <v>3</v>
      </c>
      <c r="E127" s="6" t="s">
        <v>4</v>
      </c>
      <c r="F127" s="6" t="s">
        <v>5</v>
      </c>
      <c r="G127" s="6" t="s">
        <v>6</v>
      </c>
      <c r="H127" s="6" t="s">
        <v>7</v>
      </c>
      <c r="I127" s="6" t="s">
        <v>8</v>
      </c>
    </row>
    <row r="128" spans="1:9" ht="12.75">
      <c r="A128" s="5" t="s">
        <v>43</v>
      </c>
      <c r="B128" s="5" t="s">
        <v>44</v>
      </c>
      <c r="C128" s="7">
        <f>(3/2)^2*E128</f>
        <v>24.9075</v>
      </c>
      <c r="D128" s="6">
        <v>16.86</v>
      </c>
      <c r="E128" s="6">
        <v>11.07</v>
      </c>
      <c r="F128" s="8">
        <f>-((D128-C128)/D128)</f>
        <v>0.47731316725978645</v>
      </c>
      <c r="G128" s="7">
        <f>C128-D128</f>
        <v>8.0475</v>
      </c>
      <c r="H128" s="6">
        <v>1280</v>
      </c>
      <c r="I128" s="6" t="s">
        <v>45</v>
      </c>
    </row>
    <row r="129" spans="1:9" ht="12.75">
      <c r="A129" s="5"/>
      <c r="B129" s="5" t="s">
        <v>46</v>
      </c>
      <c r="C129" s="7">
        <f>(3/2)^2*E129</f>
        <v>19.0575</v>
      </c>
      <c r="D129" s="6">
        <v>13.95</v>
      </c>
      <c r="E129" s="6">
        <v>8.47</v>
      </c>
      <c r="F129" s="8">
        <f>-((D129-C129)/D129)</f>
        <v>0.36612903225806465</v>
      </c>
      <c r="G129" s="7">
        <f>C129-D129</f>
        <v>5.107500000000002</v>
      </c>
      <c r="H129" s="6">
        <v>1280</v>
      </c>
      <c r="I129" s="6" t="s">
        <v>45</v>
      </c>
    </row>
    <row r="130" spans="1:9" ht="12.75">
      <c r="A130" s="5"/>
      <c r="B130" s="5" t="s">
        <v>39</v>
      </c>
      <c r="C130" s="7">
        <f>(3/2)^2*E130</f>
        <v>11.25</v>
      </c>
      <c r="D130" s="6">
        <v>8.76</v>
      </c>
      <c r="E130" s="6">
        <v>5</v>
      </c>
      <c r="F130" s="8">
        <f>-((D130-C130)/D130)</f>
        <v>0.2842465753424658</v>
      </c>
      <c r="G130" s="7">
        <f>C130-D130</f>
        <v>2.49</v>
      </c>
      <c r="H130" s="6">
        <v>1280</v>
      </c>
      <c r="I130" s="6" t="s">
        <v>45</v>
      </c>
    </row>
    <row r="131" spans="1:9" ht="12.75">
      <c r="A131" s="5"/>
      <c r="B131" s="5" t="s">
        <v>47</v>
      </c>
      <c r="C131" s="7">
        <f>(3/2)^2*E131</f>
        <v>20.115</v>
      </c>
      <c r="D131" s="6">
        <v>14.94</v>
      </c>
      <c r="E131" s="6">
        <v>8.94</v>
      </c>
      <c r="F131" s="8">
        <f>-((D131-C131)/D131)</f>
        <v>0.3463855421686746</v>
      </c>
      <c r="G131" s="7">
        <f>C131-D131</f>
        <v>5.174999999999999</v>
      </c>
      <c r="H131" s="6">
        <v>1280</v>
      </c>
      <c r="I131" s="6" t="s">
        <v>45</v>
      </c>
    </row>
    <row r="132" spans="1:9" ht="12.75">
      <c r="A132" s="5"/>
      <c r="B132" s="5" t="s">
        <v>25</v>
      </c>
      <c r="C132" s="7">
        <f>(3/2)^2*E132</f>
        <v>17.122500000000002</v>
      </c>
      <c r="D132" s="6">
        <v>13.32</v>
      </c>
      <c r="E132" s="6">
        <v>7.61</v>
      </c>
      <c r="F132" s="8">
        <f>-((D132-C132)/D132)</f>
        <v>0.28547297297297314</v>
      </c>
      <c r="G132" s="7">
        <f>C132-D132</f>
        <v>3.802500000000002</v>
      </c>
      <c r="H132" s="6">
        <v>1280</v>
      </c>
      <c r="I132" s="6" t="s">
        <v>45</v>
      </c>
    </row>
    <row r="133" spans="1:9" ht="12.75">
      <c r="A133" s="5"/>
      <c r="B133" s="5" t="s">
        <v>26</v>
      </c>
      <c r="C133" s="7">
        <f>(3/2)^2*E133</f>
        <v>14.13</v>
      </c>
      <c r="D133" s="6">
        <v>11.04</v>
      </c>
      <c r="E133" s="6">
        <v>6.28</v>
      </c>
      <c r="F133" s="8">
        <f>-((D133-C133)/D133)</f>
        <v>0.2798913043478263</v>
      </c>
      <c r="G133" s="7">
        <f>C133-D133</f>
        <v>3.0900000000000016</v>
      </c>
      <c r="H133" s="6">
        <v>1280</v>
      </c>
      <c r="I133" s="6" t="s">
        <v>45</v>
      </c>
    </row>
    <row r="134" spans="1:9" ht="12.75">
      <c r="A134" s="5"/>
      <c r="B134" s="5" t="s">
        <v>27</v>
      </c>
      <c r="C134" s="7">
        <f>(3/2)^2*E134</f>
        <v>12.78</v>
      </c>
      <c r="D134" s="6">
        <v>10.32</v>
      </c>
      <c r="E134" s="6">
        <v>5.68</v>
      </c>
      <c r="F134" s="8">
        <f>-((D134-C134)/D134)</f>
        <v>0.2383720930232557</v>
      </c>
      <c r="G134" s="7">
        <f>C134-D134</f>
        <v>2.459999999999999</v>
      </c>
      <c r="H134" s="6">
        <v>1280</v>
      </c>
      <c r="I134" s="6" t="s">
        <v>45</v>
      </c>
    </row>
    <row r="135" spans="1:9" ht="12.75">
      <c r="A135" s="5"/>
      <c r="B135" s="5" t="s">
        <v>40</v>
      </c>
      <c r="C135" s="7">
        <f>(3/2)^2*E135</f>
        <v>10.89</v>
      </c>
      <c r="D135" s="6">
        <v>8.74</v>
      </c>
      <c r="E135" s="6">
        <v>4.84</v>
      </c>
      <c r="F135" s="8">
        <f>-((D135-C135)/D135)</f>
        <v>0.24599542334096114</v>
      </c>
      <c r="G135" s="7">
        <f>C135-D135</f>
        <v>2.1500000000000004</v>
      </c>
      <c r="H135" s="6">
        <v>1280</v>
      </c>
      <c r="I135" s="6" t="s">
        <v>45</v>
      </c>
    </row>
    <row r="136" spans="1:9" ht="12.75">
      <c r="A136" s="5"/>
      <c r="B136" s="5" t="s">
        <v>48</v>
      </c>
      <c r="C136" s="7">
        <f>(3/2)^2*E136</f>
        <v>19.125</v>
      </c>
      <c r="D136" s="6">
        <v>13.98</v>
      </c>
      <c r="E136" s="6">
        <v>8.5</v>
      </c>
      <c r="F136" s="8">
        <f>-((D136-C136)/D136)</f>
        <v>0.3680257510729613</v>
      </c>
      <c r="G136" s="7">
        <f>C136-D136</f>
        <v>5.145</v>
      </c>
      <c r="H136" s="6">
        <v>1280</v>
      </c>
      <c r="I136" s="6" t="s">
        <v>45</v>
      </c>
    </row>
    <row r="137" spans="1:9" ht="12.75">
      <c r="A137" s="5"/>
      <c r="B137" s="5" t="s">
        <v>49</v>
      </c>
      <c r="C137" s="7">
        <f>(3/2)^2*E137</f>
        <v>18.1575</v>
      </c>
      <c r="D137" s="6">
        <v>14.04</v>
      </c>
      <c r="E137" s="6">
        <v>8.07</v>
      </c>
      <c r="F137" s="8">
        <f>-((D137-C137)/D137)</f>
        <v>0.2932692307692308</v>
      </c>
      <c r="G137" s="7">
        <f>C137-D137</f>
        <v>4.1175</v>
      </c>
      <c r="H137" s="6">
        <v>1280</v>
      </c>
      <c r="I137" s="6" t="s">
        <v>45</v>
      </c>
    </row>
    <row r="138" spans="1:9" ht="12.75">
      <c r="A138" s="5"/>
      <c r="B138" s="5" t="s">
        <v>50</v>
      </c>
      <c r="C138" s="7">
        <f>(3/2)^2*E138</f>
        <v>22.185</v>
      </c>
      <c r="D138" s="6">
        <v>15.95</v>
      </c>
      <c r="E138" s="6">
        <v>9.86</v>
      </c>
      <c r="F138" s="8">
        <f>-((D138-C138)/D138)</f>
        <v>0.3909090909090909</v>
      </c>
      <c r="G138" s="7">
        <f>C138-D138</f>
        <v>6.234999999999999</v>
      </c>
      <c r="H138" s="6">
        <v>1280</v>
      </c>
      <c r="I138" s="6" t="s">
        <v>45</v>
      </c>
    </row>
    <row r="139" spans="1:9" ht="12.75">
      <c r="A139" s="5"/>
      <c r="B139" s="5" t="s">
        <v>28</v>
      </c>
      <c r="C139" s="7">
        <f>(3/2)^2*E139</f>
        <v>14.22</v>
      </c>
      <c r="D139" s="6">
        <v>11.67</v>
      </c>
      <c r="E139" s="6">
        <v>6.32</v>
      </c>
      <c r="F139" s="8">
        <f>-((D139-C139)/D139)</f>
        <v>0.21850899742930596</v>
      </c>
      <c r="G139" s="7">
        <f>C139-D139</f>
        <v>2.5500000000000007</v>
      </c>
      <c r="H139" s="6">
        <v>1280</v>
      </c>
      <c r="I139" s="6" t="s">
        <v>45</v>
      </c>
    </row>
    <row r="140" spans="1:9" ht="12.75">
      <c r="A140" s="5"/>
      <c r="B140" s="5" t="s">
        <v>51</v>
      </c>
      <c r="C140" s="7">
        <f>(3/2)^2*E140</f>
        <v>13.0275</v>
      </c>
      <c r="D140" s="6">
        <v>10.68</v>
      </c>
      <c r="E140" s="6">
        <v>5.79</v>
      </c>
      <c r="F140" s="8">
        <f>-((D140-C140)/D140)</f>
        <v>0.21980337078651688</v>
      </c>
      <c r="G140" s="7">
        <f>C140-D140</f>
        <v>2.3475</v>
      </c>
      <c r="H140" s="6">
        <v>1280</v>
      </c>
      <c r="I140" s="6" t="s">
        <v>45</v>
      </c>
    </row>
    <row r="141" spans="1:9" ht="12.75">
      <c r="A141" s="5"/>
      <c r="B141" s="5" t="s">
        <v>52</v>
      </c>
      <c r="C141" s="7">
        <f>(3/2)^2*E141</f>
        <v>17.662499999999998</v>
      </c>
      <c r="D141" s="6">
        <v>13.45</v>
      </c>
      <c r="E141" s="6">
        <v>7.85</v>
      </c>
      <c r="F141" s="8">
        <f>-((D141-C141)/D141)</f>
        <v>0.31319702602230476</v>
      </c>
      <c r="G141" s="7">
        <f>C141-D141</f>
        <v>4.212499999999999</v>
      </c>
      <c r="H141" s="6">
        <v>1280</v>
      </c>
      <c r="I141" s="6" t="s">
        <v>45</v>
      </c>
    </row>
    <row r="142" spans="1:9" ht="12.75">
      <c r="A142" s="5"/>
      <c r="B142" s="5" t="s">
        <v>53</v>
      </c>
      <c r="C142" s="7">
        <f>(3/2)^2*E142</f>
        <v>20.655</v>
      </c>
      <c r="D142" s="6">
        <v>15.59</v>
      </c>
      <c r="E142" s="6">
        <v>9.18</v>
      </c>
      <c r="F142" s="8">
        <f>-((D142-C142)/D142)</f>
        <v>0.3248877485567672</v>
      </c>
      <c r="G142" s="7">
        <f>C142-D142</f>
        <v>5.065000000000001</v>
      </c>
      <c r="H142" s="6">
        <v>1280</v>
      </c>
      <c r="I142" s="6" t="s">
        <v>45</v>
      </c>
    </row>
    <row r="143" spans="1:9" ht="12.75">
      <c r="A143" s="5"/>
      <c r="B143" s="17"/>
      <c r="C143" s="17"/>
      <c r="D143" s="18"/>
      <c r="E143" s="6" t="s">
        <v>14</v>
      </c>
      <c r="F143" s="8">
        <f>AVERAGE(F128:F142)</f>
        <v>0.31016048841734567</v>
      </c>
      <c r="G143" s="7">
        <f>AVERAGE(G128:G142)</f>
        <v>4.133</v>
      </c>
      <c r="H143" s="18"/>
      <c r="I143" s="5"/>
    </row>
    <row r="144" spans="1:9" ht="12.75">
      <c r="A144" s="5"/>
      <c r="B144" s="17"/>
      <c r="C144" s="17"/>
      <c r="D144" s="18"/>
      <c r="E144" s="2"/>
      <c r="F144" s="4"/>
      <c r="G144" s="3"/>
      <c r="H144" s="18"/>
      <c r="I144" s="5"/>
    </row>
    <row r="145" spans="1:9" ht="12.75">
      <c r="A145" s="11" t="s">
        <v>0</v>
      </c>
      <c r="B145" s="1" t="s">
        <v>1</v>
      </c>
      <c r="C145" s="2" t="s">
        <v>29</v>
      </c>
      <c r="D145" s="2" t="s">
        <v>3</v>
      </c>
      <c r="E145" s="2" t="s">
        <v>4</v>
      </c>
      <c r="F145" s="2" t="s">
        <v>5</v>
      </c>
      <c r="G145" s="2" t="s">
        <v>6</v>
      </c>
      <c r="H145" s="2" t="s">
        <v>7</v>
      </c>
      <c r="I145" s="2" t="s">
        <v>8</v>
      </c>
    </row>
    <row r="146" spans="1:9" ht="12.75">
      <c r="A146" s="1" t="s">
        <v>54</v>
      </c>
      <c r="B146" s="1" t="s">
        <v>44</v>
      </c>
      <c r="C146" s="3">
        <f>(3/2)^1.27*E146</f>
        <v>14.459379005248957</v>
      </c>
      <c r="D146" s="2">
        <v>13.71</v>
      </c>
      <c r="E146" s="2">
        <v>8.64</v>
      </c>
      <c r="F146" s="4">
        <f>-((D146-C146)/D146)</f>
        <v>0.054659300164037646</v>
      </c>
      <c r="G146" s="3">
        <f>C146-D146</f>
        <v>0.7493790052489562</v>
      </c>
      <c r="H146" s="2">
        <v>1100</v>
      </c>
      <c r="I146" s="2" t="s">
        <v>45</v>
      </c>
    </row>
    <row r="147" spans="1:9" ht="12.75">
      <c r="A147" s="1"/>
      <c r="B147" s="1" t="s">
        <v>46</v>
      </c>
      <c r="C147" s="3">
        <f>(3/2)^1.27*E147</f>
        <v>10.961682000507022</v>
      </c>
      <c r="D147" s="2">
        <v>11.02</v>
      </c>
      <c r="E147" s="2">
        <v>6.55</v>
      </c>
      <c r="F147" s="4">
        <f>-((D147-C147)/D147)</f>
        <v>-0.005292014473046996</v>
      </c>
      <c r="G147" s="3">
        <f>C147-D147</f>
        <v>-0.05831799949297789</v>
      </c>
      <c r="H147" s="2">
        <v>1100</v>
      </c>
      <c r="I147" s="2" t="s">
        <v>45</v>
      </c>
    </row>
    <row r="148" spans="1:9" ht="12.75">
      <c r="A148" s="1"/>
      <c r="B148" s="1" t="s">
        <v>39</v>
      </c>
      <c r="C148" s="3">
        <f>(3/2)^1.27*E148</f>
        <v>6.493332238468281</v>
      </c>
      <c r="D148" s="2">
        <v>6.86</v>
      </c>
      <c r="E148" s="2">
        <v>3.88</v>
      </c>
      <c r="F148" s="4">
        <f>-((D148-C148)/D148)</f>
        <v>-0.05345011101045467</v>
      </c>
      <c r="G148" s="3">
        <f>C148-D148</f>
        <v>-0.3666677615317191</v>
      </c>
      <c r="H148" s="2">
        <v>1100</v>
      </c>
      <c r="I148" s="2" t="s">
        <v>45</v>
      </c>
    </row>
    <row r="149" spans="1:9" ht="12.75">
      <c r="A149" s="1"/>
      <c r="B149" s="1" t="s">
        <v>55</v>
      </c>
      <c r="C149" s="3">
        <f>(3/2)^1.27*E149</f>
        <v>14.861028422061429</v>
      </c>
      <c r="D149" s="2">
        <v>13.84</v>
      </c>
      <c r="E149" s="2">
        <v>8.88</v>
      </c>
      <c r="F149" s="4">
        <f>-((D149-C149)/D149)</f>
        <v>0.07377372991773329</v>
      </c>
      <c r="G149" s="3">
        <f>C149-D149</f>
        <v>1.0210284220614287</v>
      </c>
      <c r="H149" s="2">
        <v>1100</v>
      </c>
      <c r="I149" s="2" t="s">
        <v>45</v>
      </c>
    </row>
    <row r="150" spans="1:9" ht="12.75">
      <c r="A150" s="1"/>
      <c r="B150" s="1" t="s">
        <v>56</v>
      </c>
      <c r="C150" s="3">
        <f>(3/2)^1.27*E150</f>
        <v>12.36745495935067</v>
      </c>
      <c r="D150" s="2">
        <v>12.21</v>
      </c>
      <c r="E150" s="2">
        <v>7.39</v>
      </c>
      <c r="F150" s="4">
        <f>-((D150-C150)/D150)</f>
        <v>0.012895574066393902</v>
      </c>
      <c r="G150" s="3">
        <f>C150-D150</f>
        <v>0.15745495935066955</v>
      </c>
      <c r="H150" s="2">
        <v>1100</v>
      </c>
      <c r="I150" s="2" t="s">
        <v>45</v>
      </c>
    </row>
    <row r="151" spans="1:9" ht="12.75">
      <c r="A151" s="1"/>
      <c r="B151" s="1" t="s">
        <v>57</v>
      </c>
      <c r="C151" s="3">
        <f>(3/2)^1.27*E151</f>
        <v>13.923846449498996</v>
      </c>
      <c r="D151" s="2">
        <v>13.4</v>
      </c>
      <c r="E151" s="2">
        <v>8.32</v>
      </c>
      <c r="F151" s="4">
        <f>-((D151-C151)/D151)</f>
        <v>0.039093018619328</v>
      </c>
      <c r="G151" s="3">
        <f>C151-D151</f>
        <v>0.5238464494989952</v>
      </c>
      <c r="H151" s="2">
        <v>1100</v>
      </c>
      <c r="I151" s="2" t="s">
        <v>45</v>
      </c>
    </row>
    <row r="152" spans="1:9" ht="12.75">
      <c r="A152" s="1"/>
      <c r="B152" s="1" t="s">
        <v>27</v>
      </c>
      <c r="C152" s="3">
        <f>(3/2)^1.27*E152</f>
        <v>7.196218717890106</v>
      </c>
      <c r="D152" s="2">
        <v>7.87</v>
      </c>
      <c r="E152" s="2">
        <v>4.3</v>
      </c>
      <c r="F152" s="4">
        <f>-((D152-C152)/D152)</f>
        <v>-0.08561388590977058</v>
      </c>
      <c r="G152" s="3">
        <f>C152-D152</f>
        <v>-0.6737812821098945</v>
      </c>
      <c r="H152" s="2">
        <v>1100</v>
      </c>
      <c r="I152" s="2" t="s">
        <v>45</v>
      </c>
    </row>
    <row r="153" spans="1:9" ht="12.75">
      <c r="A153" s="1"/>
      <c r="B153" s="1" t="s">
        <v>58</v>
      </c>
      <c r="C153" s="3">
        <f>(3/2)^1.27*E153</f>
        <v>11.664568479928846</v>
      </c>
      <c r="D153" s="2">
        <v>11.1</v>
      </c>
      <c r="E153" s="2">
        <v>6.97</v>
      </c>
      <c r="F153" s="4">
        <f>-((D153-C153)/D153)</f>
        <v>0.05086202521881499</v>
      </c>
      <c r="G153" s="3">
        <f>C153-D153</f>
        <v>0.5645684799288464</v>
      </c>
      <c r="H153" s="2">
        <v>1100</v>
      </c>
      <c r="I153" s="2" t="s">
        <v>45</v>
      </c>
    </row>
    <row r="154" spans="1:9" ht="12.75">
      <c r="A154" s="5"/>
      <c r="B154" s="1" t="s">
        <v>59</v>
      </c>
      <c r="C154" s="3">
        <f>(3/2)^1.27*E154</f>
        <v>10.29226630581957</v>
      </c>
      <c r="D154" s="2">
        <v>10.16</v>
      </c>
      <c r="E154" s="2">
        <v>6.15</v>
      </c>
      <c r="F154" s="4">
        <f>-((D154-C154)/D154)</f>
        <v>0.01301833718696556</v>
      </c>
      <c r="G154" s="3">
        <f>C154-D154</f>
        <v>0.1322663058195701</v>
      </c>
      <c r="H154" s="2">
        <v>1100</v>
      </c>
      <c r="I154" s="2" t="s">
        <v>45</v>
      </c>
    </row>
    <row r="155" spans="1:9" ht="12.75">
      <c r="A155" s="5"/>
      <c r="B155" s="1" t="s">
        <v>60</v>
      </c>
      <c r="C155" s="3">
        <f>(3/2)^1.27*E155</f>
        <v>13.50546164031934</v>
      </c>
      <c r="D155" s="2">
        <v>14.33</v>
      </c>
      <c r="E155" s="2">
        <v>8.07</v>
      </c>
      <c r="F155" s="4">
        <f>-((D155-C155)/D155)</f>
        <v>-0.057539313306396424</v>
      </c>
      <c r="G155" s="3">
        <f>C155-D155</f>
        <v>-0.8245383596806608</v>
      </c>
      <c r="H155" s="2">
        <v>1100</v>
      </c>
      <c r="I155" s="2" t="s">
        <v>45</v>
      </c>
    </row>
    <row r="156" spans="1:9" ht="12.75">
      <c r="A156" s="5"/>
      <c r="B156" s="1" t="s">
        <v>48</v>
      </c>
      <c r="C156" s="3">
        <f>(3/2)^1.27*E156</f>
        <v>11.045358962342952</v>
      </c>
      <c r="D156" s="2">
        <v>10.44</v>
      </c>
      <c r="E156" s="2">
        <v>6.6</v>
      </c>
      <c r="F156" s="4">
        <f>-((D156-C156)/D156)</f>
        <v>0.05798457493706444</v>
      </c>
      <c r="G156" s="3">
        <f>C156-D156</f>
        <v>0.6053589623429527</v>
      </c>
      <c r="H156" s="2">
        <v>1100</v>
      </c>
      <c r="I156" s="2" t="s">
        <v>45</v>
      </c>
    </row>
    <row r="157" spans="1:9" ht="12.75">
      <c r="A157" s="5"/>
      <c r="B157" s="1" t="s">
        <v>51</v>
      </c>
      <c r="C157" s="3">
        <f>(3/2)^1.27*E157</f>
        <v>7.447249603397901</v>
      </c>
      <c r="D157" s="2">
        <v>8.15</v>
      </c>
      <c r="E157" s="2">
        <v>4.45</v>
      </c>
      <c r="F157" s="4">
        <f>-((D157-C157)/D157)</f>
        <v>-0.08622704252786498</v>
      </c>
      <c r="G157" s="3">
        <f>C157-D157</f>
        <v>-0.7027503966020996</v>
      </c>
      <c r="H157" s="2">
        <v>1100</v>
      </c>
      <c r="I157" s="2" t="s">
        <v>45</v>
      </c>
    </row>
    <row r="158" spans="1:9" ht="12.75">
      <c r="A158" s="5"/>
      <c r="B158" s="1"/>
      <c r="C158" s="3"/>
      <c r="D158" s="2"/>
      <c r="E158" s="2" t="s">
        <v>14</v>
      </c>
      <c r="F158" s="4">
        <f>AVERAGE(F146:F157)</f>
        <v>0.001180349406900348</v>
      </c>
      <c r="G158" s="3">
        <f>AVERAGE(G146:G157)</f>
        <v>0.09398723206950559</v>
      </c>
      <c r="H158" s="2"/>
      <c r="I158" s="2"/>
    </row>
    <row r="159" spans="1:9" ht="12.75">
      <c r="A159" s="5"/>
      <c r="B159" s="1"/>
      <c r="C159" s="3"/>
      <c r="D159" s="2"/>
      <c r="E159" s="2"/>
      <c r="F159" s="4"/>
      <c r="G159" s="3"/>
      <c r="H159" s="2"/>
      <c r="I159" s="2"/>
    </row>
    <row r="160" spans="1:9" ht="12.75">
      <c r="A160" s="13" t="s">
        <v>0</v>
      </c>
      <c r="B160" s="5" t="s">
        <v>1</v>
      </c>
      <c r="C160" s="6" t="s">
        <v>15</v>
      </c>
      <c r="D160" s="6" t="s">
        <v>3</v>
      </c>
      <c r="E160" s="6" t="s">
        <v>4</v>
      </c>
      <c r="F160" s="6" t="s">
        <v>5</v>
      </c>
      <c r="G160" s="6" t="s">
        <v>6</v>
      </c>
      <c r="H160" s="6" t="s">
        <v>7</v>
      </c>
      <c r="I160" s="6" t="s">
        <v>8</v>
      </c>
    </row>
    <row r="161" spans="1:9" ht="12.75">
      <c r="A161" s="5" t="s">
        <v>54</v>
      </c>
      <c r="B161" s="5" t="s">
        <v>44</v>
      </c>
      <c r="C161" s="7">
        <f>(3/2)^2*E161</f>
        <v>19.44</v>
      </c>
      <c r="D161" s="6">
        <v>13.71</v>
      </c>
      <c r="E161" s="6">
        <v>8.64</v>
      </c>
      <c r="F161" s="8">
        <f>-((D161-C161)/D161)</f>
        <v>0.4179431072210066</v>
      </c>
      <c r="G161" s="7">
        <f>C161-D161</f>
        <v>5.73</v>
      </c>
      <c r="H161" s="6">
        <v>1100</v>
      </c>
      <c r="I161" s="6" t="s">
        <v>45</v>
      </c>
    </row>
    <row r="162" spans="1:9" ht="12.75">
      <c r="A162" s="5"/>
      <c r="B162" s="5" t="s">
        <v>46</v>
      </c>
      <c r="C162" s="7">
        <f>(3/2)^2*E162</f>
        <v>14.737499999999999</v>
      </c>
      <c r="D162" s="6">
        <v>11.02</v>
      </c>
      <c r="E162" s="6">
        <v>6.55</v>
      </c>
      <c r="F162" s="8">
        <f>-((D162-C162)/D162)</f>
        <v>0.3373411978221415</v>
      </c>
      <c r="G162" s="7">
        <f>C162-D162</f>
        <v>3.7174999999999994</v>
      </c>
      <c r="H162" s="6">
        <v>1100</v>
      </c>
      <c r="I162" s="6" t="s">
        <v>45</v>
      </c>
    </row>
    <row r="163" spans="1:9" ht="12.75">
      <c r="A163" s="5"/>
      <c r="B163" s="5" t="s">
        <v>39</v>
      </c>
      <c r="C163" s="7">
        <f>(3/2)^2*E163</f>
        <v>8.73</v>
      </c>
      <c r="D163" s="6">
        <v>6.86</v>
      </c>
      <c r="E163" s="6">
        <v>3.88</v>
      </c>
      <c r="F163" s="8">
        <f>-((D163-C163)/D163)</f>
        <v>0.2725947521865889</v>
      </c>
      <c r="G163" s="7">
        <f>C163-D163</f>
        <v>1.87</v>
      </c>
      <c r="H163" s="6">
        <v>1100</v>
      </c>
      <c r="I163" s="6" t="s">
        <v>45</v>
      </c>
    </row>
    <row r="164" spans="1:9" ht="12.75">
      <c r="A164" s="5"/>
      <c r="B164" s="5" t="s">
        <v>55</v>
      </c>
      <c r="C164" s="7">
        <f>(3/2)^2*E164</f>
        <v>19.98</v>
      </c>
      <c r="D164" s="6">
        <v>13.84</v>
      </c>
      <c r="E164" s="6">
        <v>8.88</v>
      </c>
      <c r="F164" s="8">
        <f>-((D164-C164)/D164)</f>
        <v>0.44364161849710987</v>
      </c>
      <c r="G164" s="7">
        <f>C164-D164</f>
        <v>6.140000000000001</v>
      </c>
      <c r="H164" s="6">
        <v>1100</v>
      </c>
      <c r="I164" s="6" t="s">
        <v>45</v>
      </c>
    </row>
    <row r="165" spans="1:9" ht="12.75">
      <c r="A165" s="5"/>
      <c r="B165" s="5" t="s">
        <v>56</v>
      </c>
      <c r="C165" s="7">
        <f>(3/2)^2*E165</f>
        <v>16.627499999999998</v>
      </c>
      <c r="D165" s="6">
        <v>12.21</v>
      </c>
      <c r="E165" s="6">
        <v>7.39</v>
      </c>
      <c r="F165" s="8">
        <f>-((D165-C165)/D165)</f>
        <v>0.3617936117936115</v>
      </c>
      <c r="G165" s="7">
        <f>C165-D165</f>
        <v>4.417499999999997</v>
      </c>
      <c r="H165" s="6">
        <v>1100</v>
      </c>
      <c r="I165" s="6" t="s">
        <v>45</v>
      </c>
    </row>
    <row r="166" spans="1:9" ht="12.75">
      <c r="A166" s="5"/>
      <c r="B166" s="5" t="s">
        <v>57</v>
      </c>
      <c r="C166" s="7">
        <f>(3/2)^2*E166</f>
        <v>18.72</v>
      </c>
      <c r="D166" s="6">
        <v>13.4</v>
      </c>
      <c r="E166" s="6">
        <v>8.32</v>
      </c>
      <c r="F166" s="8">
        <f>-((D166-C166)/D166)</f>
        <v>0.3970149253731342</v>
      </c>
      <c r="G166" s="7">
        <f>C166-D166</f>
        <v>5.3199999999999985</v>
      </c>
      <c r="H166" s="6">
        <v>1100</v>
      </c>
      <c r="I166" s="6" t="s">
        <v>45</v>
      </c>
    </row>
    <row r="167" spans="1:9" ht="12.75">
      <c r="A167" s="5"/>
      <c r="B167" s="5" t="s">
        <v>27</v>
      </c>
      <c r="C167" s="7">
        <f>(3/2)^2*E167</f>
        <v>9.674999999999999</v>
      </c>
      <c r="D167" s="6">
        <v>7.87</v>
      </c>
      <c r="E167" s="6">
        <v>4.3</v>
      </c>
      <c r="F167" s="8">
        <f>-((D167-C167)/D167)</f>
        <v>0.2293519695044471</v>
      </c>
      <c r="G167" s="7">
        <f>C167-D167</f>
        <v>1.8049999999999988</v>
      </c>
      <c r="H167" s="6">
        <v>1100</v>
      </c>
      <c r="I167" s="6" t="s">
        <v>45</v>
      </c>
    </row>
    <row r="168" spans="1:9" ht="12.75">
      <c r="A168" s="5"/>
      <c r="B168" s="5" t="s">
        <v>58</v>
      </c>
      <c r="C168" s="7">
        <f>(3/2)^2*E168</f>
        <v>15.6825</v>
      </c>
      <c r="D168" s="6">
        <v>11.1</v>
      </c>
      <c r="E168" s="6">
        <v>6.97</v>
      </c>
      <c r="F168" s="8">
        <f>-((D168-C168)/D168)</f>
        <v>0.41283783783783784</v>
      </c>
      <c r="G168" s="7">
        <f>C168-D168</f>
        <v>4.5825</v>
      </c>
      <c r="H168" s="6">
        <v>1100</v>
      </c>
      <c r="I168" s="6" t="s">
        <v>45</v>
      </c>
    </row>
    <row r="169" spans="1:9" ht="12.75">
      <c r="A169" s="5"/>
      <c r="B169" s="5" t="s">
        <v>59</v>
      </c>
      <c r="C169" s="7">
        <f>(3/2)^2*E169</f>
        <v>13.8375</v>
      </c>
      <c r="D169" s="6">
        <v>10.16</v>
      </c>
      <c r="E169" s="6">
        <v>6.15</v>
      </c>
      <c r="F169" s="8">
        <f>-((D169-C169)/D169)</f>
        <v>0.36195866141732286</v>
      </c>
      <c r="G169" s="7">
        <f>C169-D169</f>
        <v>3.6775</v>
      </c>
      <c r="H169" s="6">
        <v>1100</v>
      </c>
      <c r="I169" s="6" t="s">
        <v>45</v>
      </c>
    </row>
    <row r="170" spans="1:9" ht="12.75">
      <c r="A170" s="5"/>
      <c r="B170" s="5" t="s">
        <v>60</v>
      </c>
      <c r="C170" s="7">
        <f>(3/2)^2*E170</f>
        <v>18.1575</v>
      </c>
      <c r="D170" s="6">
        <v>14.33</v>
      </c>
      <c r="E170" s="6">
        <v>8.07</v>
      </c>
      <c r="F170" s="8">
        <f>-((D170-C170)/D170)</f>
        <v>0.2670969993021632</v>
      </c>
      <c r="G170" s="7">
        <f>C170-D170</f>
        <v>3.827499999999999</v>
      </c>
      <c r="H170" s="6">
        <v>1100</v>
      </c>
      <c r="I170" s="6" t="s">
        <v>45</v>
      </c>
    </row>
    <row r="171" spans="1:9" ht="12.75">
      <c r="A171" s="5"/>
      <c r="B171" s="5" t="s">
        <v>48</v>
      </c>
      <c r="C171" s="7">
        <f>(3/2)^2*E171</f>
        <v>14.85</v>
      </c>
      <c r="D171" s="6">
        <v>10.44</v>
      </c>
      <c r="E171" s="6">
        <v>6.6</v>
      </c>
      <c r="F171" s="8">
        <f>-((D171-C171)/D171)</f>
        <v>0.4224137931034483</v>
      </c>
      <c r="G171" s="7">
        <f>C171-D171</f>
        <v>4.41</v>
      </c>
      <c r="H171" s="6">
        <v>1100</v>
      </c>
      <c r="I171" s="6" t="s">
        <v>45</v>
      </c>
    </row>
    <row r="172" spans="1:9" ht="12.75">
      <c r="A172" s="5"/>
      <c r="B172" s="5" t="s">
        <v>51</v>
      </c>
      <c r="C172" s="7">
        <f>(3/2)^2*E172</f>
        <v>10.012500000000001</v>
      </c>
      <c r="D172" s="6">
        <v>8.15</v>
      </c>
      <c r="E172" s="6">
        <v>4.45</v>
      </c>
      <c r="F172" s="8">
        <f>-((D172-C172)/D172)</f>
        <v>0.22852760736196326</v>
      </c>
      <c r="G172" s="7">
        <f>C172-D172</f>
        <v>1.8625000000000007</v>
      </c>
      <c r="H172" s="6">
        <v>1100</v>
      </c>
      <c r="I172" s="6" t="s">
        <v>45</v>
      </c>
    </row>
    <row r="173" spans="1:9" ht="12.75">
      <c r="A173" s="5"/>
      <c r="B173" s="5"/>
      <c r="C173" s="7"/>
      <c r="D173" s="6"/>
      <c r="E173" s="6" t="s">
        <v>14</v>
      </c>
      <c r="F173" s="8">
        <f>AVERAGE(F161:F172)</f>
        <v>0.3460430067850646</v>
      </c>
      <c r="G173" s="7">
        <f>AVERAGE(G161:G172)</f>
        <v>3.9466666666666668</v>
      </c>
      <c r="H173" s="6"/>
      <c r="I173" s="6"/>
    </row>
    <row r="174" spans="1:9" ht="12.75">
      <c r="A174" s="5"/>
      <c r="B174" s="5"/>
      <c r="C174" s="7"/>
      <c r="D174" s="6"/>
      <c r="E174" s="6"/>
      <c r="F174" s="8"/>
      <c r="G174" s="7"/>
      <c r="H174" s="6"/>
      <c r="I174" s="6"/>
    </row>
    <row r="175" spans="1:9" ht="12.75">
      <c r="A175" s="1" t="s">
        <v>0</v>
      </c>
      <c r="B175" s="1" t="s">
        <v>1</v>
      </c>
      <c r="C175" s="2" t="s">
        <v>61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7</v>
      </c>
      <c r="I175" s="2" t="s">
        <v>8</v>
      </c>
    </row>
    <row r="176" spans="1:9" ht="12.75">
      <c r="A176" s="1" t="s">
        <v>62</v>
      </c>
      <c r="B176" s="1" t="s">
        <v>35</v>
      </c>
      <c r="C176" s="3">
        <f>(3/2)^1.49*E176</f>
        <v>23.54802688060331</v>
      </c>
      <c r="D176" s="2">
        <v>23.28</v>
      </c>
      <c r="E176" s="2">
        <v>12.87</v>
      </c>
      <c r="F176" s="4">
        <f>-((D176-C176)/D176)</f>
        <v>0.0115131821564995</v>
      </c>
      <c r="G176" s="3">
        <f>C176-D176</f>
        <v>0.26802688060330837</v>
      </c>
      <c r="H176" s="2">
        <v>2000</v>
      </c>
      <c r="I176" s="2" t="s">
        <v>63</v>
      </c>
    </row>
    <row r="177" spans="1:9" ht="12.75">
      <c r="A177" s="1"/>
      <c r="B177" s="1" t="s">
        <v>22</v>
      </c>
      <c r="C177" s="3">
        <f>(3/2)^1.49*E177</f>
        <v>19.412942129230856</v>
      </c>
      <c r="D177" s="2">
        <v>19.6</v>
      </c>
      <c r="E177" s="2">
        <v>10.61</v>
      </c>
      <c r="F177" s="4">
        <f>-((D177-C177)/D177)</f>
        <v>-0.009543768916793113</v>
      </c>
      <c r="G177" s="3">
        <f>C177-D177</f>
        <v>-0.18705787076914504</v>
      </c>
      <c r="H177" s="2">
        <v>2000</v>
      </c>
      <c r="I177" s="2" t="s">
        <v>63</v>
      </c>
    </row>
    <row r="178" spans="1:9" ht="12.75">
      <c r="A178" s="1"/>
      <c r="B178" s="1" t="s">
        <v>13</v>
      </c>
      <c r="C178" s="3">
        <f>(3/2)^1.49*E178</f>
        <v>15.91824660926564</v>
      </c>
      <c r="D178" s="2">
        <v>15.83</v>
      </c>
      <c r="E178" s="2">
        <v>8.7</v>
      </c>
      <c r="F178" s="4">
        <f>-((D178-C178)/D178)</f>
        <v>0.005574643668075832</v>
      </c>
      <c r="G178" s="3">
        <f>C178-D178</f>
        <v>0.08824660926564043</v>
      </c>
      <c r="H178" s="2">
        <v>2000</v>
      </c>
      <c r="I178" s="2" t="s">
        <v>63</v>
      </c>
    </row>
    <row r="179" spans="1:9" ht="12.75">
      <c r="A179" s="1"/>
      <c r="B179" s="1"/>
      <c r="C179" s="3"/>
      <c r="D179" s="2"/>
      <c r="E179" s="2" t="s">
        <v>14</v>
      </c>
      <c r="F179" s="4">
        <f>AVERAGE(F176:F178)</f>
        <v>0.0025146856359274062</v>
      </c>
      <c r="G179" s="3">
        <f>AVERAGE(G176:G178)</f>
        <v>0.056405206366601256</v>
      </c>
      <c r="H179" s="2"/>
      <c r="I179" s="2"/>
    </row>
    <row r="180" spans="1:9" ht="12.75">
      <c r="A180" s="1"/>
      <c r="B180" s="1"/>
      <c r="C180" s="3"/>
      <c r="D180" s="2"/>
      <c r="E180" s="2"/>
      <c r="F180" s="4"/>
      <c r="G180" s="3"/>
      <c r="H180" s="2"/>
      <c r="I180" s="2"/>
    </row>
    <row r="181" spans="1:9" ht="12.75">
      <c r="A181" s="5" t="s">
        <v>0</v>
      </c>
      <c r="B181" s="5" t="s">
        <v>1</v>
      </c>
      <c r="C181" s="6" t="s">
        <v>15</v>
      </c>
      <c r="D181" s="6" t="s">
        <v>3</v>
      </c>
      <c r="E181" s="6" t="s">
        <v>4</v>
      </c>
      <c r="F181" s="6" t="s">
        <v>5</v>
      </c>
      <c r="G181" s="6" t="s">
        <v>6</v>
      </c>
      <c r="H181" s="6" t="s">
        <v>7</v>
      </c>
      <c r="I181" s="6" t="s">
        <v>8</v>
      </c>
    </row>
    <row r="182" spans="1:9" ht="12.75">
      <c r="A182" s="5" t="s">
        <v>62</v>
      </c>
      <c r="B182" s="5" t="s">
        <v>35</v>
      </c>
      <c r="C182" s="7">
        <f>(3/2)^2*E182</f>
        <v>28.9575</v>
      </c>
      <c r="D182" s="6">
        <v>23.28</v>
      </c>
      <c r="E182" s="6">
        <v>12.87</v>
      </c>
      <c r="F182" s="8">
        <f>-((D182-C182)/D182)</f>
        <v>0.24387886597938135</v>
      </c>
      <c r="G182" s="7">
        <f>C182-D182</f>
        <v>5.677499999999998</v>
      </c>
      <c r="H182" s="6">
        <v>2000</v>
      </c>
      <c r="I182" s="6" t="s">
        <v>63</v>
      </c>
    </row>
    <row r="183" spans="1:9" ht="12.75">
      <c r="A183" s="5"/>
      <c r="B183" s="5" t="s">
        <v>22</v>
      </c>
      <c r="C183" s="7">
        <f>(3/2)^2*E183</f>
        <v>23.8725</v>
      </c>
      <c r="D183" s="6">
        <v>19.6</v>
      </c>
      <c r="E183" s="6">
        <v>10.61</v>
      </c>
      <c r="F183" s="8">
        <f>-((D183-C183)/D183)</f>
        <v>0.21798469387755087</v>
      </c>
      <c r="G183" s="7">
        <f>C183-D183</f>
        <v>4.272499999999997</v>
      </c>
      <c r="H183" s="6">
        <v>2000</v>
      </c>
      <c r="I183" s="6" t="s">
        <v>63</v>
      </c>
    </row>
    <row r="184" spans="1:9" ht="12.75">
      <c r="A184" s="5"/>
      <c r="B184" s="5" t="s">
        <v>13</v>
      </c>
      <c r="C184" s="7">
        <f>(3/2)^2*E184</f>
        <v>19.575</v>
      </c>
      <c r="D184" s="6">
        <v>15.83</v>
      </c>
      <c r="E184" s="6">
        <v>8.7</v>
      </c>
      <c r="F184" s="8">
        <f>-((D184-C184)/D184)</f>
        <v>0.2365761212886923</v>
      </c>
      <c r="G184" s="7">
        <f>C184-D184</f>
        <v>3.744999999999999</v>
      </c>
      <c r="H184" s="6">
        <v>2000</v>
      </c>
      <c r="I184" s="6" t="s">
        <v>63</v>
      </c>
    </row>
    <row r="185" spans="1:9" ht="12.75">
      <c r="A185" s="5"/>
      <c r="B185" s="5"/>
      <c r="C185" s="7"/>
      <c r="D185" s="6"/>
      <c r="E185" s="6" t="s">
        <v>14</v>
      </c>
      <c r="F185" s="8">
        <f>AVERAGE(F182:F184)</f>
        <v>0.2328132270485415</v>
      </c>
      <c r="G185" s="7">
        <f>AVERAGE(G182:G184)</f>
        <v>4.564999999999999</v>
      </c>
      <c r="H185" s="6"/>
      <c r="I185" s="6"/>
    </row>
    <row r="186" spans="1:9" ht="12.75">
      <c r="A186" s="5"/>
      <c r="B186" s="5"/>
      <c r="C186" s="7"/>
      <c r="D186" s="6"/>
      <c r="E186" s="6"/>
      <c r="F186" s="8"/>
      <c r="G186" s="7"/>
      <c r="H186" s="6"/>
      <c r="I186" s="6"/>
    </row>
    <row r="187" spans="1:9" ht="12.75">
      <c r="A187" s="1" t="s">
        <v>0</v>
      </c>
      <c r="B187" s="1" t="s">
        <v>1</v>
      </c>
      <c r="C187" s="2" t="s">
        <v>64</v>
      </c>
      <c r="D187" s="2" t="s">
        <v>3</v>
      </c>
      <c r="E187" s="2" t="s">
        <v>4</v>
      </c>
      <c r="F187" s="2" t="s">
        <v>5</v>
      </c>
      <c r="G187" s="2" t="s">
        <v>6</v>
      </c>
      <c r="H187" s="2" t="s">
        <v>7</v>
      </c>
      <c r="I187" s="2" t="s">
        <v>8</v>
      </c>
    </row>
    <row r="188" spans="1:9" ht="12.75">
      <c r="A188" s="1" t="s">
        <v>65</v>
      </c>
      <c r="B188" s="1" t="s">
        <v>40</v>
      </c>
      <c r="C188" s="3">
        <f>(3/2)^1.46*E188</f>
        <v>14.279740968853622</v>
      </c>
      <c r="D188" s="2">
        <v>14.3</v>
      </c>
      <c r="E188" s="2">
        <v>7.9</v>
      </c>
      <c r="F188" s="4">
        <f>-((D188-C188)/D188)</f>
        <v>-0.0014167154647817522</v>
      </c>
      <c r="G188" s="3">
        <f>C188-D188</f>
        <v>-0.02025903114637906</v>
      </c>
      <c r="H188" s="2">
        <v>1550</v>
      </c>
      <c r="I188" s="2" t="s">
        <v>63</v>
      </c>
    </row>
    <row r="189" spans="1:9" ht="12.75">
      <c r="A189" s="1"/>
      <c r="B189" s="1" t="s">
        <v>10</v>
      </c>
      <c r="C189" s="3">
        <f>(3/2)^1.46*E189</f>
        <v>7.989424693966203</v>
      </c>
      <c r="D189" s="2">
        <v>8.22</v>
      </c>
      <c r="E189" s="2">
        <v>4.42</v>
      </c>
      <c r="F189" s="4">
        <f>-((D189-C189)/D189)</f>
        <v>-0.028050523848393842</v>
      </c>
      <c r="G189" s="3">
        <f>C189-D189</f>
        <v>-0.2305753060337974</v>
      </c>
      <c r="H189" s="2">
        <v>1550</v>
      </c>
      <c r="I189" s="2" t="s">
        <v>63</v>
      </c>
    </row>
    <row r="190" spans="1:11" ht="12.75">
      <c r="A190" s="1"/>
      <c r="B190" s="1" t="s">
        <v>51</v>
      </c>
      <c r="C190" s="3">
        <f>(3/2)^1.46*E190</f>
        <v>17.55142845665426</v>
      </c>
      <c r="D190" s="2">
        <v>17.02</v>
      </c>
      <c r="E190" s="2">
        <v>9.71</v>
      </c>
      <c r="F190" s="4">
        <f>-((D190-C190)/D190)</f>
        <v>0.03122376361070864</v>
      </c>
      <c r="G190" s="3">
        <f>C190-D190</f>
        <v>0.5314284566542611</v>
      </c>
      <c r="H190" s="2">
        <v>1550</v>
      </c>
      <c r="I190" s="2" t="s">
        <v>63</v>
      </c>
      <c r="J190">
        <v>7.37</v>
      </c>
      <c r="K190">
        <v>0.5</v>
      </c>
    </row>
    <row r="191" spans="1:11" ht="12.75">
      <c r="A191" s="1"/>
      <c r="B191" s="1" t="s">
        <v>66</v>
      </c>
      <c r="C191" s="3">
        <f>(3/2)^1.46*E191</f>
        <v>17.967167750684176</v>
      </c>
      <c r="D191" s="2">
        <v>17.59</v>
      </c>
      <c r="E191" s="2">
        <v>9.94</v>
      </c>
      <c r="F191" s="4">
        <f>-((D191-C191)/D191)</f>
        <v>0.02144216888483094</v>
      </c>
      <c r="G191" s="3">
        <f>C191-D191</f>
        <v>0.3771677506841762</v>
      </c>
      <c r="H191" s="2">
        <v>1550</v>
      </c>
      <c r="I191" s="2" t="s">
        <v>63</v>
      </c>
      <c r="J191">
        <v>6.88</v>
      </c>
      <c r="K191">
        <v>8.7</v>
      </c>
    </row>
    <row r="192" spans="1:12" ht="12.75">
      <c r="A192" s="1"/>
      <c r="B192" s="1" t="s">
        <v>67</v>
      </c>
      <c r="C192" s="3">
        <f>(3/2)^1.46*E192</f>
        <v>16.3584374390032</v>
      </c>
      <c r="D192" s="2">
        <v>15.88</v>
      </c>
      <c r="E192" s="2">
        <v>9.05</v>
      </c>
      <c r="F192" s="4">
        <f>-((D192-C192)/D192)</f>
        <v>0.03012830220423171</v>
      </c>
      <c r="G192" s="3">
        <f>C192-D192</f>
        <v>0.47843743900319957</v>
      </c>
      <c r="H192" s="2">
        <v>1550</v>
      </c>
      <c r="I192" s="2" t="s">
        <v>63</v>
      </c>
      <c r="J192" s="19">
        <f>J190-J191</f>
        <v>0.4900000000000002</v>
      </c>
      <c r="K192" s="19">
        <f>K191-K190</f>
        <v>8.2</v>
      </c>
      <c r="L192" s="19">
        <f>J192/K192</f>
        <v>0.05975609756097564</v>
      </c>
    </row>
    <row r="193" spans="1:12" ht="12.75">
      <c r="A193" s="1"/>
      <c r="B193" s="1" t="s">
        <v>41</v>
      </c>
      <c r="C193" s="3">
        <f>(3/2)^1.46*E193</f>
        <v>15.183522042831699</v>
      </c>
      <c r="D193" s="2">
        <v>15.28</v>
      </c>
      <c r="E193" s="2">
        <v>8.4</v>
      </c>
      <c r="F193" s="4">
        <f>-((D193-C193)/D193)</f>
        <v>-0.006314002432480387</v>
      </c>
      <c r="G193" s="3">
        <f>C193-D193</f>
        <v>-0.09647795716830032</v>
      </c>
      <c r="H193" s="2">
        <v>1550</v>
      </c>
      <c r="I193" s="2" t="s">
        <v>63</v>
      </c>
      <c r="L193" s="19">
        <f>L192/2</f>
        <v>0.02987804878048782</v>
      </c>
    </row>
    <row r="194" spans="1:9" ht="12.75">
      <c r="A194" s="1"/>
      <c r="B194" s="1" t="s">
        <v>42</v>
      </c>
      <c r="C194" s="3">
        <f>(3/2)^1.46*E194</f>
        <v>15.472731986504684</v>
      </c>
      <c r="D194" s="2">
        <v>14.93</v>
      </c>
      <c r="E194" s="2">
        <v>8.56</v>
      </c>
      <c r="F194" s="4">
        <f>-((D194-C194)/D194)</f>
        <v>0.03635177404585961</v>
      </c>
      <c r="G194" s="3">
        <f>C194-D194</f>
        <v>0.542731986504684</v>
      </c>
      <c r="H194" s="2">
        <v>1550</v>
      </c>
      <c r="I194" s="2" t="s">
        <v>63</v>
      </c>
    </row>
    <row r="195" spans="1:9" ht="12.75">
      <c r="A195" s="1"/>
      <c r="B195" s="1" t="s">
        <v>21</v>
      </c>
      <c r="C195" s="3">
        <f>(3/2)^1.46*E195</f>
        <v>12.255271363142729</v>
      </c>
      <c r="D195" s="2">
        <v>12.95</v>
      </c>
      <c r="E195" s="2">
        <v>6.78</v>
      </c>
      <c r="F195" s="4">
        <f>-((D195-C195)/D195)</f>
        <v>-0.05364699898511741</v>
      </c>
      <c r="G195" s="3">
        <f>C195-D195</f>
        <v>-0.6947286368572705</v>
      </c>
      <c r="H195" s="2">
        <v>1550</v>
      </c>
      <c r="I195" s="2" t="s">
        <v>63</v>
      </c>
    </row>
    <row r="196" spans="1:11" ht="12.75">
      <c r="A196" s="1"/>
      <c r="B196" s="1" t="s">
        <v>35</v>
      </c>
      <c r="C196" s="3">
        <f>(3/2)^1.46*E196</f>
        <v>12.725237521611328</v>
      </c>
      <c r="D196" s="2">
        <v>12.75</v>
      </c>
      <c r="E196" s="2">
        <v>7.04</v>
      </c>
      <c r="F196" s="4">
        <f>-((D196-C196)/D196)</f>
        <v>-0.0019421551677389598</v>
      </c>
      <c r="G196" s="3">
        <f>C196-D196</f>
        <v>-0.024762478388671738</v>
      </c>
      <c r="H196" s="2">
        <v>1550</v>
      </c>
      <c r="I196" s="2" t="s">
        <v>63</v>
      </c>
      <c r="J196">
        <v>11.02</v>
      </c>
      <c r="K196">
        <v>0.9</v>
      </c>
    </row>
    <row r="197" spans="1:11" ht="12.75">
      <c r="A197" s="5"/>
      <c r="B197" s="5"/>
      <c r="C197" s="7"/>
      <c r="D197" s="6"/>
      <c r="E197" s="2" t="s">
        <v>14</v>
      </c>
      <c r="F197" s="4">
        <f>AVERAGE(F188:F196)</f>
        <v>0.003086179205235394</v>
      </c>
      <c r="G197" s="3">
        <f>AVERAGE(G188:G196)</f>
        <v>0.09588469147243354</v>
      </c>
      <c r="H197" s="6"/>
      <c r="I197" s="6"/>
      <c r="J197">
        <v>9.73</v>
      </c>
      <c r="K197">
        <v>15.2</v>
      </c>
    </row>
    <row r="198" spans="1:12" ht="12.75">
      <c r="A198" s="5"/>
      <c r="B198" s="5"/>
      <c r="C198" s="7"/>
      <c r="D198" s="6"/>
      <c r="E198" s="2"/>
      <c r="F198" s="4"/>
      <c r="G198" s="3"/>
      <c r="H198" s="6"/>
      <c r="I198" s="6"/>
      <c r="J198" s="19">
        <f>J196-J197</f>
        <v>1.2899999999999991</v>
      </c>
      <c r="K198" s="19">
        <f>K197-K196</f>
        <v>14.299999999999999</v>
      </c>
      <c r="L198" s="19">
        <f>J198/K198</f>
        <v>0.09020979020979016</v>
      </c>
    </row>
    <row r="199" spans="1:12" ht="12.75">
      <c r="A199" s="5" t="s">
        <v>0</v>
      </c>
      <c r="B199" s="5" t="s">
        <v>1</v>
      </c>
      <c r="C199" s="6" t="s">
        <v>15</v>
      </c>
      <c r="D199" s="6" t="s">
        <v>3</v>
      </c>
      <c r="E199" s="6" t="s">
        <v>4</v>
      </c>
      <c r="F199" s="6" t="s">
        <v>5</v>
      </c>
      <c r="G199" s="6" t="s">
        <v>6</v>
      </c>
      <c r="H199" s="6" t="s">
        <v>7</v>
      </c>
      <c r="I199" s="6" t="s">
        <v>8</v>
      </c>
      <c r="L199" s="19">
        <f>L198/3</f>
        <v>0.030069930069930053</v>
      </c>
    </row>
    <row r="200" spans="1:9" ht="12.75">
      <c r="A200" s="5" t="s">
        <v>65</v>
      </c>
      <c r="B200" s="5" t="s">
        <v>40</v>
      </c>
      <c r="C200" s="7">
        <f>(3/2)^2*E200</f>
        <v>17.775000000000002</v>
      </c>
      <c r="D200" s="6">
        <v>14.3</v>
      </c>
      <c r="E200" s="6">
        <v>7.9</v>
      </c>
      <c r="F200" s="8">
        <f>-((D200-C200)/D200)</f>
        <v>0.2430069930069931</v>
      </c>
      <c r="G200" s="7">
        <f>C200-D200</f>
        <v>3.4750000000000014</v>
      </c>
      <c r="H200" s="6">
        <v>1550</v>
      </c>
      <c r="I200" s="6" t="s">
        <v>63</v>
      </c>
    </row>
    <row r="201" spans="1:11" ht="12.75">
      <c r="A201" s="5"/>
      <c r="B201" s="5" t="s">
        <v>10</v>
      </c>
      <c r="C201" s="7">
        <f>(3/2)^2*E201</f>
        <v>9.945</v>
      </c>
      <c r="D201" s="6">
        <v>8.22</v>
      </c>
      <c r="E201" s="6">
        <v>4.42</v>
      </c>
      <c r="F201" s="8">
        <f>-((D201-C201)/D201)</f>
        <v>0.20985401459854008</v>
      </c>
      <c r="G201" s="7">
        <f>C201-D201</f>
        <v>1.7249999999999996</v>
      </c>
      <c r="H201" s="6">
        <v>1550</v>
      </c>
      <c r="I201" s="6" t="s">
        <v>63</v>
      </c>
      <c r="K201" s="19">
        <f>8.7*1.771</f>
        <v>15.407699999999998</v>
      </c>
    </row>
    <row r="202" spans="1:9" ht="12.75">
      <c r="A202" s="5"/>
      <c r="B202" s="5" t="s">
        <v>51</v>
      </c>
      <c r="C202" s="7">
        <f>(3/2)^2*E202</f>
        <v>21.847500000000004</v>
      </c>
      <c r="D202" s="6">
        <v>17.02</v>
      </c>
      <c r="E202" s="6">
        <v>9.71</v>
      </c>
      <c r="F202" s="8">
        <f>-((D202-C202)/D202)</f>
        <v>0.2836368977673328</v>
      </c>
      <c r="G202" s="7">
        <f>C202-D202</f>
        <v>4.827500000000004</v>
      </c>
      <c r="H202" s="6">
        <v>1550</v>
      </c>
      <c r="I202" s="6" t="s">
        <v>63</v>
      </c>
    </row>
    <row r="203" spans="1:11" ht="12.75">
      <c r="A203" s="5"/>
      <c r="B203" s="5" t="s">
        <v>66</v>
      </c>
      <c r="C203" s="7">
        <f>(3/2)^2*E203</f>
        <v>22.365</v>
      </c>
      <c r="D203" s="6">
        <v>17.59</v>
      </c>
      <c r="E203" s="6">
        <v>9.94</v>
      </c>
      <c r="F203" s="8">
        <f>-((D203-C203)/D203)</f>
        <v>0.27146105741898796</v>
      </c>
      <c r="G203" s="7">
        <f>C203-D203</f>
        <v>4.774999999999999</v>
      </c>
      <c r="H203" s="6">
        <v>1550</v>
      </c>
      <c r="I203" s="6" t="s">
        <v>63</v>
      </c>
      <c r="J203">
        <v>11.07</v>
      </c>
      <c r="K203">
        <v>0.9</v>
      </c>
    </row>
    <row r="204" spans="1:11" ht="12.75">
      <c r="A204" s="5"/>
      <c r="B204" s="5" t="s">
        <v>67</v>
      </c>
      <c r="C204" s="7">
        <f>(3/2)^2*E204</f>
        <v>20.3625</v>
      </c>
      <c r="D204" s="6">
        <v>15.88</v>
      </c>
      <c r="E204" s="6">
        <v>9.05</v>
      </c>
      <c r="F204" s="8">
        <f>-((D204-C204)/D204)</f>
        <v>0.28227329974811083</v>
      </c>
      <c r="G204" s="7">
        <f>C204-D204</f>
        <v>4.4825</v>
      </c>
      <c r="H204" s="6">
        <v>1550</v>
      </c>
      <c r="I204" s="6" t="s">
        <v>63</v>
      </c>
      <c r="J204">
        <v>10.49</v>
      </c>
      <c r="K204">
        <v>17</v>
      </c>
    </row>
    <row r="205" spans="1:12" ht="12.75">
      <c r="A205" s="5"/>
      <c r="B205" s="5" t="s">
        <v>41</v>
      </c>
      <c r="C205" s="7">
        <f>(3/2)^2*E205</f>
        <v>18.900000000000002</v>
      </c>
      <c r="D205" s="6">
        <v>15.28</v>
      </c>
      <c r="E205" s="6">
        <v>8.4</v>
      </c>
      <c r="F205" s="8">
        <f>-((D205-C205)/D205)</f>
        <v>0.2369109947643981</v>
      </c>
      <c r="G205" s="7">
        <f>C205-D205</f>
        <v>3.6200000000000028</v>
      </c>
      <c r="H205" s="6">
        <v>1550</v>
      </c>
      <c r="I205" s="6" t="s">
        <v>63</v>
      </c>
      <c r="J205" s="19">
        <f>J203-J204</f>
        <v>0.5800000000000001</v>
      </c>
      <c r="K205" s="19">
        <f>K204-K203</f>
        <v>16.1</v>
      </c>
      <c r="L205" s="19">
        <f>J205/K205</f>
        <v>0.0360248447204969</v>
      </c>
    </row>
    <row r="206" spans="1:12" ht="12.75">
      <c r="A206" s="5"/>
      <c r="B206" s="5" t="s">
        <v>42</v>
      </c>
      <c r="C206" s="7">
        <f>(3/2)^2*E206</f>
        <v>19.26</v>
      </c>
      <c r="D206" s="6">
        <v>14.93</v>
      </c>
      <c r="E206" s="6">
        <v>8.56</v>
      </c>
      <c r="F206" s="8">
        <f>-((D206-C206)/D206)</f>
        <v>0.29002009377093113</v>
      </c>
      <c r="G206" s="7">
        <f>C206-D206</f>
        <v>4.330000000000002</v>
      </c>
      <c r="H206" s="6">
        <v>1550</v>
      </c>
      <c r="I206" s="6" t="s">
        <v>63</v>
      </c>
      <c r="L206" s="19">
        <f>L205/3</f>
        <v>0.012008281573498966</v>
      </c>
    </row>
    <row r="207" spans="1:9" ht="12.75">
      <c r="A207" s="5"/>
      <c r="B207" s="5" t="s">
        <v>21</v>
      </c>
      <c r="C207" s="7">
        <f>(3/2)^2*E207</f>
        <v>15.255</v>
      </c>
      <c r="D207" s="6">
        <v>12.95</v>
      </c>
      <c r="E207" s="6">
        <v>6.78</v>
      </c>
      <c r="F207" s="8">
        <f>-((D207-C207)/D207)</f>
        <v>0.17799227799227813</v>
      </c>
      <c r="G207" s="7">
        <f>C207-D207</f>
        <v>2.3050000000000015</v>
      </c>
      <c r="H207" s="6">
        <v>1550</v>
      </c>
      <c r="I207" s="6" t="s">
        <v>63</v>
      </c>
    </row>
    <row r="208" spans="1:11" ht="12.75">
      <c r="A208" s="5"/>
      <c r="B208" s="5" t="s">
        <v>35</v>
      </c>
      <c r="C208" s="7">
        <f>(3/2)^2*E208</f>
        <v>15.84</v>
      </c>
      <c r="D208" s="6">
        <v>12.75</v>
      </c>
      <c r="E208" s="6">
        <v>7.04</v>
      </c>
      <c r="F208" s="8">
        <f>-((D208-C208)/D208)</f>
        <v>0.24235294117647058</v>
      </c>
      <c r="G208" s="7">
        <f>C208-D208</f>
        <v>3.09</v>
      </c>
      <c r="H208" s="6">
        <v>1550</v>
      </c>
      <c r="I208" s="6" t="s">
        <v>63</v>
      </c>
      <c r="K208" s="19">
        <f>K191*2.25</f>
        <v>19.575</v>
      </c>
    </row>
    <row r="209" spans="1:9" ht="12.75">
      <c r="A209" s="5"/>
      <c r="B209" s="5"/>
      <c r="C209" s="7"/>
      <c r="D209" s="6"/>
      <c r="E209" s="6" t="s">
        <v>14</v>
      </c>
      <c r="F209" s="8">
        <f>AVERAGE(F200:F208)</f>
        <v>0.2486120633604492</v>
      </c>
      <c r="G209" s="7">
        <f>AVERAGE(G200:G208)</f>
        <v>3.6255555555555565</v>
      </c>
      <c r="H209" s="6"/>
      <c r="I209" s="6"/>
    </row>
    <row r="210" spans="1:9" ht="12.75">
      <c r="A210" s="5"/>
      <c r="B210" s="5"/>
      <c r="C210" s="7"/>
      <c r="D210" s="6"/>
      <c r="E210" s="6"/>
      <c r="F210" s="8"/>
      <c r="G210" s="7"/>
      <c r="H210" s="6"/>
      <c r="I210" s="6"/>
    </row>
    <row r="211" spans="1:9" ht="12.75">
      <c r="A211" s="1" t="s">
        <v>0</v>
      </c>
      <c r="B211" s="1" t="s">
        <v>1</v>
      </c>
      <c r="C211" s="2" t="s">
        <v>68</v>
      </c>
      <c r="D211" s="2" t="s">
        <v>3</v>
      </c>
      <c r="E211" s="2" t="s">
        <v>4</v>
      </c>
      <c r="F211" s="2" t="s">
        <v>5</v>
      </c>
      <c r="G211" s="2" t="s">
        <v>6</v>
      </c>
      <c r="H211" s="2" t="s">
        <v>7</v>
      </c>
      <c r="I211" s="2" t="s">
        <v>8</v>
      </c>
    </row>
    <row r="212" spans="1:9" ht="12.75">
      <c r="A212" s="1" t="s">
        <v>69</v>
      </c>
      <c r="B212" s="1" t="s">
        <v>25</v>
      </c>
      <c r="C212" s="3">
        <f>(3/2)^1.35*E212</f>
        <v>12.18743511936117</v>
      </c>
      <c r="D212" s="2">
        <v>11.95</v>
      </c>
      <c r="E212" s="2">
        <v>7.05</v>
      </c>
      <c r="F212" s="4">
        <f>-((D212-C212)/D212)</f>
        <v>0.019869047645286297</v>
      </c>
      <c r="G212" s="3">
        <f>C212-D212</f>
        <v>0.23743511936117123</v>
      </c>
      <c r="H212" s="2">
        <v>1180</v>
      </c>
      <c r="I212" s="2" t="s">
        <v>70</v>
      </c>
    </row>
    <row r="213" spans="1:9" ht="12.75">
      <c r="A213" s="1"/>
      <c r="B213" s="1" t="s">
        <v>40</v>
      </c>
      <c r="C213" s="3">
        <f>(3/2)^1.35*E213</f>
        <v>7.450758207722927</v>
      </c>
      <c r="D213" s="2">
        <v>7.78</v>
      </c>
      <c r="E213" s="2">
        <v>4.31</v>
      </c>
      <c r="F213" s="4">
        <f>-((D213-C213)/D213)</f>
        <v>-0.04231899643664177</v>
      </c>
      <c r="G213" s="3">
        <f>C213-D213</f>
        <v>-0.32924179227707295</v>
      </c>
      <c r="H213" s="2">
        <v>1180</v>
      </c>
      <c r="I213" s="2" t="s">
        <v>70</v>
      </c>
    </row>
    <row r="214" spans="1:9" ht="12.75">
      <c r="A214" s="1"/>
      <c r="B214" s="1" t="s">
        <v>48</v>
      </c>
      <c r="C214" s="3">
        <f>(3/2)^1.35*E214</f>
        <v>13.691416474516378</v>
      </c>
      <c r="D214" s="2">
        <v>12.87</v>
      </c>
      <c r="E214" s="2">
        <v>7.92</v>
      </c>
      <c r="F214" s="4">
        <f>-((D214-C214)/D214)</f>
        <v>0.06382412389404657</v>
      </c>
      <c r="G214" s="3">
        <f>C214-D214</f>
        <v>0.8214164745163792</v>
      </c>
      <c r="H214" s="2">
        <v>1180</v>
      </c>
      <c r="I214" s="2" t="s">
        <v>70</v>
      </c>
    </row>
    <row r="215" spans="1:9" ht="12.75">
      <c r="A215" s="1"/>
      <c r="B215" s="1" t="s">
        <v>71</v>
      </c>
      <c r="C215" s="3">
        <f>(3/2)^1.35*E215</f>
        <v>12.256583687414283</v>
      </c>
      <c r="D215" s="2">
        <v>12.22</v>
      </c>
      <c r="E215" s="2">
        <v>7.09</v>
      </c>
      <c r="F215" s="4">
        <f>-((D215-C215)/D215)</f>
        <v>0.0029937551075517343</v>
      </c>
      <c r="G215" s="3">
        <f>C215-D215</f>
        <v>0.036583687414282196</v>
      </c>
      <c r="H215" s="2">
        <v>1180</v>
      </c>
      <c r="I215" s="2" t="s">
        <v>70</v>
      </c>
    </row>
    <row r="216" spans="1:9" ht="12.75">
      <c r="A216" s="1"/>
      <c r="B216" s="1" t="s">
        <v>49</v>
      </c>
      <c r="C216" s="3">
        <f>(3/2)^1.35*E216</f>
        <v>12.861633657879024</v>
      </c>
      <c r="D216" s="2">
        <v>12.95</v>
      </c>
      <c r="E216" s="2">
        <v>7.44</v>
      </c>
      <c r="F216" s="4">
        <f>-((D216-C216)/D216)</f>
        <v>-0.006823655762237507</v>
      </c>
      <c r="G216" s="3">
        <f>C216-D216</f>
        <v>-0.08836634212097572</v>
      </c>
      <c r="H216" s="2">
        <v>1180</v>
      </c>
      <c r="I216" s="2" t="s">
        <v>70</v>
      </c>
    </row>
    <row r="217" spans="1:9" ht="12.75">
      <c r="A217" s="1"/>
      <c r="B217" s="1" t="s">
        <v>53</v>
      </c>
      <c r="C217" s="3">
        <f>(3/2)^1.35*E217</f>
        <v>14.832367847392744</v>
      </c>
      <c r="D217" s="2">
        <v>14.55</v>
      </c>
      <c r="E217" s="2">
        <v>8.58</v>
      </c>
      <c r="F217" s="4">
        <f>-((D217-C217)/D217)</f>
        <v>0.019406724906717753</v>
      </c>
      <c r="G217" s="3">
        <f>C217-D217</f>
        <v>0.28236784739274334</v>
      </c>
      <c r="H217" s="2">
        <v>1180</v>
      </c>
      <c r="I217" s="2" t="s">
        <v>70</v>
      </c>
    </row>
    <row r="218" spans="1:9" ht="12.75">
      <c r="A218" s="1"/>
      <c r="B218" s="1" t="s">
        <v>52</v>
      </c>
      <c r="C218" s="3">
        <f>(3/2)^1.35*E218</f>
        <v>12.809772231839188</v>
      </c>
      <c r="D218" s="2">
        <v>12.35</v>
      </c>
      <c r="E218" s="2">
        <v>7.41</v>
      </c>
      <c r="F218" s="4">
        <f>-((D218-C218)/D218)</f>
        <v>0.037228520796695454</v>
      </c>
      <c r="G218" s="3">
        <f>C218-D218</f>
        <v>0.4597722318391888</v>
      </c>
      <c r="H218" s="2">
        <v>1180</v>
      </c>
      <c r="I218" s="2" t="s">
        <v>70</v>
      </c>
    </row>
    <row r="219" spans="1:9" ht="12.75">
      <c r="A219" s="1"/>
      <c r="B219" s="1" t="s">
        <v>51</v>
      </c>
      <c r="C219" s="3">
        <f>(3/2)^1.35*E219</f>
        <v>9.300482403143702</v>
      </c>
      <c r="D219" s="2">
        <v>9.59</v>
      </c>
      <c r="E219" s="2">
        <v>5.38</v>
      </c>
      <c r="F219" s="4">
        <f>-((D219-C219)/D219)</f>
        <v>-0.03018953043339914</v>
      </c>
      <c r="G219" s="3">
        <f>C219-D219</f>
        <v>-0.28951759685629774</v>
      </c>
      <c r="H219" s="2">
        <v>1180</v>
      </c>
      <c r="I219" s="2" t="s">
        <v>70</v>
      </c>
    </row>
    <row r="220" spans="1:9" ht="12.75">
      <c r="A220" s="1"/>
      <c r="B220" s="1" t="s">
        <v>28</v>
      </c>
      <c r="C220" s="3">
        <f>(3/2)^1.35*E220</f>
        <v>10.147552361794336</v>
      </c>
      <c r="D220" s="2">
        <v>10.66</v>
      </c>
      <c r="E220" s="2">
        <v>5.87</v>
      </c>
      <c r="F220" s="4">
        <f>-((D220-C220)/D220)</f>
        <v>-0.04807201108871146</v>
      </c>
      <c r="G220" s="3">
        <f>C220-D220</f>
        <v>-0.5124476382056642</v>
      </c>
      <c r="H220" s="2">
        <v>1180</v>
      </c>
      <c r="I220" s="2" t="s">
        <v>70</v>
      </c>
    </row>
    <row r="221" spans="1:9" ht="12.75">
      <c r="A221" s="1"/>
      <c r="B221" s="1"/>
      <c r="C221" s="3"/>
      <c r="D221" s="2"/>
      <c r="E221" s="2" t="s">
        <v>14</v>
      </c>
      <c r="F221" s="4">
        <f>AVERAGE(F212:F220)</f>
        <v>0.0017686642921453258</v>
      </c>
      <c r="G221" s="3">
        <f>AVERAGE(G212:G220)</f>
        <v>0.0686668878959727</v>
      </c>
      <c r="H221" s="2"/>
      <c r="I221" s="2"/>
    </row>
    <row r="222" spans="1:9" ht="12.75">
      <c r="A222" s="1"/>
      <c r="B222" s="1"/>
      <c r="C222" s="3"/>
      <c r="D222" s="2"/>
      <c r="E222" s="2"/>
      <c r="F222" s="4"/>
      <c r="G222" s="3"/>
      <c r="H222" s="2"/>
      <c r="I222" s="2"/>
    </row>
    <row r="223" spans="1:9" ht="12.75">
      <c r="A223" s="5" t="s">
        <v>0</v>
      </c>
      <c r="B223" s="5" t="s">
        <v>1</v>
      </c>
      <c r="C223" s="6" t="s">
        <v>15</v>
      </c>
      <c r="D223" s="6" t="s">
        <v>3</v>
      </c>
      <c r="E223" s="6" t="s">
        <v>4</v>
      </c>
      <c r="F223" s="6" t="s">
        <v>5</v>
      </c>
      <c r="G223" s="6" t="s">
        <v>6</v>
      </c>
      <c r="H223" s="6" t="s">
        <v>7</v>
      </c>
      <c r="I223" s="6" t="s">
        <v>8</v>
      </c>
    </row>
    <row r="224" spans="1:9" ht="12.75">
      <c r="A224" s="5" t="s">
        <v>69</v>
      </c>
      <c r="B224" s="5" t="s">
        <v>25</v>
      </c>
      <c r="C224" s="7">
        <f>(3/2)^2*E224</f>
        <v>15.862499999999999</v>
      </c>
      <c r="D224" s="6">
        <v>11.95</v>
      </c>
      <c r="E224" s="6">
        <v>7.05</v>
      </c>
      <c r="F224" s="8">
        <f>-((D224-C224)/D224)</f>
        <v>0.3274058577405858</v>
      </c>
      <c r="G224" s="7">
        <f>C224-D224</f>
        <v>3.9124999999999996</v>
      </c>
      <c r="H224" s="6">
        <v>1180</v>
      </c>
      <c r="I224" s="6" t="s">
        <v>70</v>
      </c>
    </row>
    <row r="225" spans="1:9" ht="12.75">
      <c r="A225" s="5"/>
      <c r="B225" s="5" t="s">
        <v>40</v>
      </c>
      <c r="C225" s="7">
        <f>(3/2)^2*E225</f>
        <v>9.6975</v>
      </c>
      <c r="D225" s="6">
        <v>7.78</v>
      </c>
      <c r="E225" s="6">
        <v>4.31</v>
      </c>
      <c r="F225" s="8">
        <f>-((D225-C225)/D225)</f>
        <v>0.24646529562981997</v>
      </c>
      <c r="G225" s="7">
        <f>C225-D225</f>
        <v>1.9174999999999995</v>
      </c>
      <c r="H225" s="6">
        <v>1180</v>
      </c>
      <c r="I225" s="6" t="s">
        <v>70</v>
      </c>
    </row>
    <row r="226" spans="1:9" ht="12.75">
      <c r="A226" s="5"/>
      <c r="B226" s="5" t="s">
        <v>48</v>
      </c>
      <c r="C226" s="7">
        <f>(3/2)^2*E226</f>
        <v>17.82</v>
      </c>
      <c r="D226" s="6">
        <v>12.87</v>
      </c>
      <c r="E226" s="6">
        <v>7.92</v>
      </c>
      <c r="F226" s="8">
        <f>-((D226-C226)/D226)</f>
        <v>0.38461538461538475</v>
      </c>
      <c r="G226" s="7">
        <f>C226-D226</f>
        <v>4.950000000000001</v>
      </c>
      <c r="H226" s="6">
        <v>1180</v>
      </c>
      <c r="I226" s="6" t="s">
        <v>70</v>
      </c>
    </row>
    <row r="227" spans="1:9" ht="12.75">
      <c r="A227" s="5"/>
      <c r="B227" s="5" t="s">
        <v>71</v>
      </c>
      <c r="C227" s="7">
        <f>(3/2)^2*E227</f>
        <v>15.9525</v>
      </c>
      <c r="D227" s="6">
        <v>12.22</v>
      </c>
      <c r="E227" s="6">
        <v>7.09</v>
      </c>
      <c r="F227" s="8">
        <f>-((D227-C227)/D227)</f>
        <v>0.3054418985270049</v>
      </c>
      <c r="G227" s="7">
        <f>C227-D227</f>
        <v>3.7325</v>
      </c>
      <c r="H227" s="6">
        <v>1180</v>
      </c>
      <c r="I227" s="6" t="s">
        <v>70</v>
      </c>
    </row>
    <row r="228" spans="1:9" ht="12.75">
      <c r="A228" s="5"/>
      <c r="B228" s="5" t="s">
        <v>49</v>
      </c>
      <c r="C228" s="7">
        <f>(3/2)^2*E228</f>
        <v>16.740000000000002</v>
      </c>
      <c r="D228" s="6">
        <v>12.95</v>
      </c>
      <c r="E228" s="6">
        <v>7.44</v>
      </c>
      <c r="F228" s="8">
        <f>-((D228-C228)/D228)</f>
        <v>0.2926640926640929</v>
      </c>
      <c r="G228" s="7">
        <f>C228-D228</f>
        <v>3.7900000000000027</v>
      </c>
      <c r="H228" s="6">
        <v>1180</v>
      </c>
      <c r="I228" s="6" t="s">
        <v>70</v>
      </c>
    </row>
    <row r="229" spans="1:9" ht="12.75">
      <c r="A229" s="5"/>
      <c r="B229" s="5" t="s">
        <v>53</v>
      </c>
      <c r="C229" s="7">
        <f>(3/2)^2*E229</f>
        <v>19.305</v>
      </c>
      <c r="D229" s="6">
        <v>14.55</v>
      </c>
      <c r="E229" s="6">
        <v>8.58</v>
      </c>
      <c r="F229" s="8">
        <f>-((D229-C229)/D229)</f>
        <v>0.3268041237113401</v>
      </c>
      <c r="G229" s="7">
        <f>C229-D229</f>
        <v>4.754999999999999</v>
      </c>
      <c r="H229" s="6">
        <v>1180</v>
      </c>
      <c r="I229" s="6" t="s">
        <v>70</v>
      </c>
    </row>
    <row r="230" spans="1:9" ht="12.75">
      <c r="A230" s="5"/>
      <c r="B230" s="5" t="s">
        <v>52</v>
      </c>
      <c r="C230" s="7">
        <f>(3/2)^2*E230</f>
        <v>16.6725</v>
      </c>
      <c r="D230" s="6">
        <v>12.35</v>
      </c>
      <c r="E230" s="6">
        <v>7.41</v>
      </c>
      <c r="F230" s="8">
        <f>-((D230-C230)/D230)</f>
        <v>0.35</v>
      </c>
      <c r="G230" s="7">
        <f>C230-D230</f>
        <v>4.3225</v>
      </c>
      <c r="H230" s="6">
        <v>1180</v>
      </c>
      <c r="I230" s="6" t="s">
        <v>70</v>
      </c>
    </row>
    <row r="231" spans="1:9" ht="12.75">
      <c r="A231" s="5"/>
      <c r="B231" s="5" t="s">
        <v>51</v>
      </c>
      <c r="C231" s="7">
        <f>(3/2)^2*E231</f>
        <v>12.105</v>
      </c>
      <c r="D231" s="6">
        <v>9.59</v>
      </c>
      <c r="E231" s="6">
        <v>5.38</v>
      </c>
      <c r="F231" s="8">
        <f>-((D231-C231)/D231)</f>
        <v>0.2622523461939521</v>
      </c>
      <c r="G231" s="7">
        <f>C231-D231</f>
        <v>2.5150000000000006</v>
      </c>
      <c r="H231" s="6">
        <v>1180</v>
      </c>
      <c r="I231" s="6" t="s">
        <v>70</v>
      </c>
    </row>
    <row r="232" spans="1:9" ht="12.75">
      <c r="A232" s="5"/>
      <c r="B232" s="5" t="s">
        <v>28</v>
      </c>
      <c r="C232" s="7">
        <f>(3/2)^2*E232</f>
        <v>13.2075</v>
      </c>
      <c r="D232" s="6">
        <v>10.66</v>
      </c>
      <c r="E232" s="6">
        <v>5.87</v>
      </c>
      <c r="F232" s="8">
        <f>-((D232-C232)/D232)</f>
        <v>0.23897748592870538</v>
      </c>
      <c r="G232" s="7">
        <f>C232-D232</f>
        <v>2.5474999999999994</v>
      </c>
      <c r="H232" s="6">
        <v>1180</v>
      </c>
      <c r="I232" s="6" t="s">
        <v>70</v>
      </c>
    </row>
    <row r="233" spans="1:9" ht="12.75">
      <c r="A233" s="5"/>
      <c r="B233" s="5"/>
      <c r="C233" s="7"/>
      <c r="D233" s="6"/>
      <c r="E233" s="6" t="s">
        <v>14</v>
      </c>
      <c r="F233" s="8">
        <f>AVERAGE(F224:F232)</f>
        <v>0.3038473872234318</v>
      </c>
      <c r="G233" s="7">
        <f>AVERAGE(G224:G232)</f>
        <v>3.6047222222222226</v>
      </c>
      <c r="H233" s="6"/>
      <c r="I233" s="6"/>
    </row>
    <row r="234" spans="4:8" ht="12.75">
      <c r="D234" s="6"/>
      <c r="E234" s="6"/>
      <c r="F234" s="6"/>
      <c r="G234" s="6"/>
      <c r="H234" s="6"/>
    </row>
    <row r="235" spans="1:9" ht="12.75">
      <c r="A235" s="20" t="s">
        <v>0</v>
      </c>
      <c r="B235" s="20" t="s">
        <v>1</v>
      </c>
      <c r="C235" s="16" t="s">
        <v>72</v>
      </c>
      <c r="D235" s="16" t="s">
        <v>73</v>
      </c>
      <c r="E235" s="16" t="s">
        <v>3</v>
      </c>
      <c r="F235" s="16" t="s">
        <v>5</v>
      </c>
      <c r="G235" s="16" t="s">
        <v>6</v>
      </c>
      <c r="H235" s="16" t="s">
        <v>7</v>
      </c>
      <c r="I235" s="16" t="s">
        <v>8</v>
      </c>
    </row>
    <row r="236" spans="1:9" ht="12.75">
      <c r="A236" s="20" t="s">
        <v>69</v>
      </c>
      <c r="B236" s="20" t="s">
        <v>71</v>
      </c>
      <c r="C236" s="21">
        <f>(4/3)^1.43*E236</f>
        <v>18.21250413777417</v>
      </c>
      <c r="D236" s="16">
        <v>17.98</v>
      </c>
      <c r="E236" s="16">
        <v>12.07</v>
      </c>
      <c r="F236" s="22">
        <f>-((D236-C236)/D236)</f>
        <v>0.012931264614803739</v>
      </c>
      <c r="G236" s="21">
        <f>C236-D236</f>
        <v>0.23250413777417123</v>
      </c>
      <c r="H236" s="16">
        <v>1180</v>
      </c>
      <c r="I236" s="16" t="s">
        <v>70</v>
      </c>
    </row>
    <row r="237" spans="2:9" ht="12.75">
      <c r="B237" s="15" t="s">
        <v>52</v>
      </c>
      <c r="C237" s="21">
        <f>(4/3)^1.43*E237</f>
        <v>18.966957498908148</v>
      </c>
      <c r="D237" s="16">
        <v>18.74</v>
      </c>
      <c r="E237" s="16">
        <v>12.57</v>
      </c>
      <c r="F237" s="22">
        <f>-((D237-C237)/D237)</f>
        <v>0.012110859066603474</v>
      </c>
      <c r="G237" s="21">
        <f>C237-D237</f>
        <v>0.2269574989081491</v>
      </c>
      <c r="H237" s="16">
        <v>1180</v>
      </c>
      <c r="I237" s="16" t="s">
        <v>70</v>
      </c>
    </row>
    <row r="238" spans="2:9" ht="12.75">
      <c r="B238" s="15" t="s">
        <v>51</v>
      </c>
      <c r="C238" s="21">
        <f>(4/3)^1.43*E238</f>
        <v>13.565071433188882</v>
      </c>
      <c r="D238" s="16">
        <v>13.89</v>
      </c>
      <c r="E238" s="16">
        <v>8.99</v>
      </c>
      <c r="F238" s="22">
        <f>-((D238-C238)/D238)</f>
        <v>-0.023392985371570828</v>
      </c>
      <c r="G238" s="21">
        <f>C238-D238</f>
        <v>-0.3249285668111188</v>
      </c>
      <c r="H238" s="16">
        <v>1180</v>
      </c>
      <c r="I238" s="16" t="s">
        <v>70</v>
      </c>
    </row>
    <row r="239" spans="1:9" ht="12.75">
      <c r="A239" s="5"/>
      <c r="B239" s="5"/>
      <c r="C239" s="7"/>
      <c r="D239" s="6"/>
      <c r="E239" s="16" t="s">
        <v>14</v>
      </c>
      <c r="F239" s="22">
        <f>AVERAGE(F236:F238)</f>
        <v>0.0005497127699454618</v>
      </c>
      <c r="G239" s="21">
        <f>AVERAGE(G236:G238)</f>
        <v>0.04484435662373384</v>
      </c>
      <c r="H239" s="6"/>
      <c r="I239" s="6"/>
    </row>
    <row r="240" spans="1:9" ht="12.75">
      <c r="A240" s="5"/>
      <c r="B240" s="5"/>
      <c r="C240" s="7"/>
      <c r="D240" s="6"/>
      <c r="E240" s="16"/>
      <c r="F240" s="22"/>
      <c r="G240" s="21"/>
      <c r="H240" s="6"/>
      <c r="I240" s="6"/>
    </row>
    <row r="241" spans="1:9" ht="12.75">
      <c r="A241" s="23" t="s">
        <v>0</v>
      </c>
      <c r="B241" s="23" t="s">
        <v>1</v>
      </c>
      <c r="C241" s="18" t="s">
        <v>74</v>
      </c>
      <c r="D241" s="18" t="s">
        <v>73</v>
      </c>
      <c r="E241" s="18" t="s">
        <v>3</v>
      </c>
      <c r="F241" s="18" t="s">
        <v>5</v>
      </c>
      <c r="G241" s="18" t="s">
        <v>6</v>
      </c>
      <c r="H241" s="18" t="s">
        <v>7</v>
      </c>
      <c r="I241" s="18" t="s">
        <v>8</v>
      </c>
    </row>
    <row r="242" spans="1:9" ht="12.75">
      <c r="A242" s="23" t="s">
        <v>69</v>
      </c>
      <c r="B242" s="23" t="s">
        <v>71</v>
      </c>
      <c r="C242" s="24">
        <f>(4/3)^2*E242</f>
        <v>21.45777777777778</v>
      </c>
      <c r="D242" s="18">
        <v>17.98</v>
      </c>
      <c r="E242" s="18">
        <v>12.07</v>
      </c>
      <c r="F242" s="25">
        <f>-((D242-C242)/D242)</f>
        <v>0.19342479297985415</v>
      </c>
      <c r="G242" s="24">
        <f>C242-D242</f>
        <v>3.477777777777778</v>
      </c>
      <c r="H242" s="18">
        <v>1180</v>
      </c>
      <c r="I242" s="18" t="s">
        <v>70</v>
      </c>
    </row>
    <row r="243" spans="1:9" ht="12.75">
      <c r="A243" s="5"/>
      <c r="B243" s="17" t="s">
        <v>52</v>
      </c>
      <c r="C243" s="24">
        <f>(4/3)^2*E243</f>
        <v>22.346666666666668</v>
      </c>
      <c r="D243" s="18">
        <v>18.74</v>
      </c>
      <c r="E243" s="18">
        <v>12.57</v>
      </c>
      <c r="F243" s="25">
        <f>-((D243-C243)/D243)</f>
        <v>0.1924581999288511</v>
      </c>
      <c r="G243" s="24">
        <f>C243-D243</f>
        <v>3.606666666666669</v>
      </c>
      <c r="H243" s="18">
        <v>1180</v>
      </c>
      <c r="I243" s="18" t="s">
        <v>70</v>
      </c>
    </row>
    <row r="244" spans="1:9" ht="12.75">
      <c r="A244" s="5"/>
      <c r="B244" s="17" t="s">
        <v>51</v>
      </c>
      <c r="C244" s="24">
        <f>(4/3)^2*E244</f>
        <v>15.982222222222221</v>
      </c>
      <c r="D244" s="18">
        <v>13.89</v>
      </c>
      <c r="E244" s="18">
        <v>8.99</v>
      </c>
      <c r="F244" s="25">
        <f>-((D244-C244)/D244)</f>
        <v>0.15062794976401875</v>
      </c>
      <c r="G244" s="24">
        <f>C244-D244</f>
        <v>2.0922222222222207</v>
      </c>
      <c r="H244" s="18">
        <v>1180</v>
      </c>
      <c r="I244" s="18" t="s">
        <v>70</v>
      </c>
    </row>
    <row r="245" spans="1:9" ht="12.75">
      <c r="A245" s="5"/>
      <c r="B245" s="5"/>
      <c r="C245" s="7"/>
      <c r="D245" s="6"/>
      <c r="E245" s="18" t="s">
        <v>14</v>
      </c>
      <c r="F245" s="25">
        <f>AVERAGE(F242:F244)</f>
        <v>0.17883698089090802</v>
      </c>
      <c r="G245" s="24">
        <f>AVERAGE(G242:G244)</f>
        <v>3.058888888888889</v>
      </c>
      <c r="H245" s="6"/>
      <c r="I245" s="6"/>
    </row>
    <row r="246" spans="1:9" ht="12.75">
      <c r="A246" s="5"/>
      <c r="B246" s="5"/>
      <c r="C246" s="7"/>
      <c r="D246" s="6"/>
      <c r="E246" s="18"/>
      <c r="F246" s="25"/>
      <c r="G246" s="24"/>
      <c r="H246" s="6"/>
      <c r="I246" s="6"/>
    </row>
    <row r="247" spans="1:9" ht="12.75">
      <c r="A247" s="1" t="s">
        <v>0</v>
      </c>
      <c r="B247" s="1" t="s">
        <v>1</v>
      </c>
      <c r="C247" s="1" t="s">
        <v>75</v>
      </c>
      <c r="D247" s="2" t="s">
        <v>3</v>
      </c>
      <c r="E247" s="2" t="s">
        <v>4</v>
      </c>
      <c r="F247" s="1" t="s">
        <v>5</v>
      </c>
      <c r="G247" s="2" t="s">
        <v>6</v>
      </c>
      <c r="H247" s="2" t="s">
        <v>7</v>
      </c>
      <c r="I247" s="2" t="s">
        <v>8</v>
      </c>
    </row>
    <row r="248" spans="1:9" ht="12.75">
      <c r="A248" s="1" t="s">
        <v>76</v>
      </c>
      <c r="B248" s="1" t="s">
        <v>42</v>
      </c>
      <c r="C248" s="3">
        <f>(3/2)^1.38*E248</f>
        <v>26.195563061305872</v>
      </c>
      <c r="D248" s="2">
        <v>26.02</v>
      </c>
      <c r="E248" s="2">
        <v>14.97</v>
      </c>
      <c r="F248" s="4">
        <f>-((D248-C248)/D248)</f>
        <v>0.006747235253876739</v>
      </c>
      <c r="G248" s="3">
        <f>C248-D248</f>
        <v>0.17556306130587274</v>
      </c>
      <c r="H248" s="2">
        <v>1850</v>
      </c>
      <c r="I248" s="2" t="s">
        <v>77</v>
      </c>
    </row>
    <row r="249" spans="1:9" ht="12.75">
      <c r="A249" s="1"/>
      <c r="B249" s="1" t="s">
        <v>35</v>
      </c>
      <c r="C249" s="3">
        <f>(3/2)^1.38*E249</f>
        <v>21.24342922940904</v>
      </c>
      <c r="D249" s="2">
        <v>21.82</v>
      </c>
      <c r="E249" s="2">
        <v>12.14</v>
      </c>
      <c r="F249" s="4">
        <f>-((D249-C249)/D249)</f>
        <v>-0.02642395832222557</v>
      </c>
      <c r="G249" s="3">
        <f>C249-D249</f>
        <v>-0.576570770590962</v>
      </c>
      <c r="H249" s="2">
        <v>1850</v>
      </c>
      <c r="I249" s="2" t="s">
        <v>77</v>
      </c>
    </row>
    <row r="250" spans="1:9" ht="12.75">
      <c r="A250" s="5"/>
      <c r="B250" s="1" t="s">
        <v>22</v>
      </c>
      <c r="C250" s="3">
        <f>(3/2)^1.38*E250</f>
        <v>18.54862848696341</v>
      </c>
      <c r="D250" s="2">
        <v>18.11</v>
      </c>
      <c r="E250" s="2">
        <v>10.6</v>
      </c>
      <c r="F250" s="4">
        <f>-((D250-C250)/D250)</f>
        <v>0.024220236718023723</v>
      </c>
      <c r="G250" s="3">
        <f>C250-D250</f>
        <v>0.4386284869634096</v>
      </c>
      <c r="H250" s="2">
        <v>1850</v>
      </c>
      <c r="I250" s="2" t="s">
        <v>77</v>
      </c>
    </row>
    <row r="251" spans="1:9" ht="12.75">
      <c r="A251" s="5"/>
      <c r="B251" s="5"/>
      <c r="C251" s="7"/>
      <c r="D251" s="6"/>
      <c r="E251" s="2" t="s">
        <v>14</v>
      </c>
      <c r="F251" s="4">
        <f>AVERAGE(F248:F250)</f>
        <v>0.0015145045498916306</v>
      </c>
      <c r="G251" s="3">
        <f>AVERAGE(G248:G250)</f>
        <v>0.012540259226106798</v>
      </c>
      <c r="H251" s="6"/>
      <c r="I251" s="6"/>
    </row>
    <row r="252" spans="1:9" ht="12.75">
      <c r="A252" s="5"/>
      <c r="B252" s="5"/>
      <c r="C252" s="7"/>
      <c r="D252" s="6"/>
      <c r="E252" s="18"/>
      <c r="F252" s="25"/>
      <c r="G252" s="24"/>
      <c r="H252" s="6"/>
      <c r="I252" s="6"/>
    </row>
    <row r="253" spans="1:9" ht="12.75">
      <c r="A253" s="5" t="s">
        <v>0</v>
      </c>
      <c r="B253" s="5" t="s">
        <v>1</v>
      </c>
      <c r="C253" s="5" t="s">
        <v>15</v>
      </c>
      <c r="D253" s="6" t="s">
        <v>3</v>
      </c>
      <c r="E253" s="6" t="s">
        <v>4</v>
      </c>
      <c r="F253" s="5" t="s">
        <v>5</v>
      </c>
      <c r="G253" s="6" t="s">
        <v>6</v>
      </c>
      <c r="H253" s="6" t="s">
        <v>7</v>
      </c>
      <c r="I253" s="6" t="s">
        <v>8</v>
      </c>
    </row>
    <row r="254" spans="1:9" ht="12.75">
      <c r="A254" s="5" t="s">
        <v>76</v>
      </c>
      <c r="B254" s="5" t="s">
        <v>42</v>
      </c>
      <c r="C254" s="7">
        <f>(3/2)^2*E254</f>
        <v>33.682500000000005</v>
      </c>
      <c r="D254" s="6">
        <v>26.02</v>
      </c>
      <c r="E254" s="6">
        <v>14.97</v>
      </c>
      <c r="F254" s="8">
        <f>-((D254-C254)/D254)</f>
        <v>0.29448501152959283</v>
      </c>
      <c r="G254" s="7">
        <f>C254-D254</f>
        <v>7.662500000000005</v>
      </c>
      <c r="H254" s="6">
        <v>1850</v>
      </c>
      <c r="I254" s="6" t="s">
        <v>77</v>
      </c>
    </row>
    <row r="255" spans="1:9" ht="12.75">
      <c r="A255" s="5"/>
      <c r="B255" s="5" t="s">
        <v>35</v>
      </c>
      <c r="C255" s="7">
        <f>(3/2)^2*E255</f>
        <v>27.315</v>
      </c>
      <c r="D255" s="6">
        <v>21.82</v>
      </c>
      <c r="E255" s="6">
        <v>12.14</v>
      </c>
      <c r="F255" s="8">
        <f>-((D255-C255)/D255)</f>
        <v>0.251833180568286</v>
      </c>
      <c r="G255" s="7">
        <f>C255-D255</f>
        <v>5.495000000000001</v>
      </c>
      <c r="H255" s="6">
        <v>1850</v>
      </c>
      <c r="I255" s="6" t="s">
        <v>77</v>
      </c>
    </row>
    <row r="256" spans="1:9" ht="12.75">
      <c r="A256" s="5"/>
      <c r="B256" s="5" t="s">
        <v>22</v>
      </c>
      <c r="C256" s="7">
        <f>(3/2)^2*E256</f>
        <v>23.849999999999998</v>
      </c>
      <c r="D256" s="6">
        <v>18.11</v>
      </c>
      <c r="E256" s="6">
        <v>10.6</v>
      </c>
      <c r="F256" s="8">
        <f>-((D256-C256)/D256)</f>
        <v>0.31695196024295963</v>
      </c>
      <c r="G256" s="7">
        <f>C256-D256</f>
        <v>5.739999999999998</v>
      </c>
      <c r="H256" s="6">
        <v>1850</v>
      </c>
      <c r="I256" s="6" t="s">
        <v>77</v>
      </c>
    </row>
    <row r="257" spans="1:9" ht="12.75">
      <c r="A257" s="5"/>
      <c r="B257" s="5"/>
      <c r="C257" s="7"/>
      <c r="D257" s="6"/>
      <c r="E257" s="6" t="s">
        <v>14</v>
      </c>
      <c r="F257" s="8">
        <f>AVERAGE(F254:F256)</f>
        <v>0.28775671744694614</v>
      </c>
      <c r="G257" s="7">
        <f>AVERAGE(G254:G256)</f>
        <v>6.299166666666668</v>
      </c>
      <c r="H257" s="6"/>
      <c r="I257" s="6"/>
    </row>
    <row r="258" spans="1:9" ht="12.75">
      <c r="A258" s="5"/>
      <c r="B258" s="5"/>
      <c r="C258" s="7"/>
      <c r="D258" s="6"/>
      <c r="E258" s="18"/>
      <c r="F258" s="25"/>
      <c r="G258" s="24"/>
      <c r="H258" s="6"/>
      <c r="I258" s="6"/>
    </row>
    <row r="259" spans="1:9" ht="12.75">
      <c r="A259" s="1" t="s">
        <v>0</v>
      </c>
      <c r="B259" s="1" t="s">
        <v>1</v>
      </c>
      <c r="C259" s="1" t="s">
        <v>78</v>
      </c>
      <c r="D259" s="2" t="s">
        <v>3</v>
      </c>
      <c r="E259" s="2" t="s">
        <v>4</v>
      </c>
      <c r="F259" s="1" t="s">
        <v>5</v>
      </c>
      <c r="G259" s="2" t="s">
        <v>6</v>
      </c>
      <c r="H259" s="2" t="s">
        <v>7</v>
      </c>
      <c r="I259" s="2" t="s">
        <v>8</v>
      </c>
    </row>
    <row r="260" spans="1:9" ht="12.75">
      <c r="A260" s="1" t="s">
        <v>79</v>
      </c>
      <c r="B260" s="1" t="s">
        <v>44</v>
      </c>
      <c r="C260" s="3">
        <f>(3/2)^1.42*E260</f>
        <v>17.695900537153964</v>
      </c>
      <c r="D260" s="2">
        <v>16.78</v>
      </c>
      <c r="E260" s="2">
        <v>9.95</v>
      </c>
      <c r="F260" s="4">
        <f>-((D260-C260)/D260)</f>
        <v>0.05458286872192865</v>
      </c>
      <c r="G260" s="3">
        <f>C260-D260</f>
        <v>0.9159005371539628</v>
      </c>
      <c r="H260" s="2">
        <v>1070</v>
      </c>
      <c r="I260" s="2" t="s">
        <v>77</v>
      </c>
    </row>
    <row r="261" spans="1:9" ht="12.75">
      <c r="A261" s="1"/>
      <c r="B261" s="1" t="s">
        <v>46</v>
      </c>
      <c r="C261" s="3">
        <f>(3/2)^1.42*E261</f>
        <v>12.751719281547128</v>
      </c>
      <c r="D261" s="2">
        <v>12.8</v>
      </c>
      <c r="E261" s="2">
        <v>7.17</v>
      </c>
      <c r="F261" s="4">
        <f>-((D261-C261)/D261)</f>
        <v>-0.0037719311291306568</v>
      </c>
      <c r="G261" s="3">
        <f>C261-D261</f>
        <v>-0.048280718452872406</v>
      </c>
      <c r="H261" s="2">
        <v>1070</v>
      </c>
      <c r="I261" s="2" t="s">
        <v>77</v>
      </c>
    </row>
    <row r="262" spans="1:9" ht="12.75">
      <c r="A262" s="5"/>
      <c r="B262" s="1" t="s">
        <v>47</v>
      </c>
      <c r="C262" s="3">
        <f>(3/2)^1.42*E262</f>
        <v>13.69431498855131</v>
      </c>
      <c r="D262" s="2">
        <v>14.04</v>
      </c>
      <c r="E262" s="2">
        <v>7.7</v>
      </c>
      <c r="F262" s="4">
        <f>-((D262-C262)/D262)</f>
        <v>-0.024621439561872415</v>
      </c>
      <c r="G262" s="3">
        <f>C262-D262</f>
        <v>-0.3456850114486887</v>
      </c>
      <c r="H262" s="2">
        <v>1070</v>
      </c>
      <c r="I262" s="2" t="s">
        <v>77</v>
      </c>
    </row>
    <row r="263" spans="1:9" ht="12.75">
      <c r="A263" s="5"/>
      <c r="B263" s="1" t="s">
        <v>25</v>
      </c>
      <c r="C263" s="3">
        <f>(3/2)^1.42*E263</f>
        <v>11.27557883472926</v>
      </c>
      <c r="D263" s="2">
        <v>11.7</v>
      </c>
      <c r="E263" s="2">
        <v>6.34</v>
      </c>
      <c r="F263" s="4">
        <f>-((D263-C263)/D263)</f>
        <v>-0.03627531327100341</v>
      </c>
      <c r="G263" s="3">
        <f>C263-D263</f>
        <v>-0.4244211652707399</v>
      </c>
      <c r="H263" s="2">
        <v>1070</v>
      </c>
      <c r="I263" s="2" t="s">
        <v>77</v>
      </c>
    </row>
    <row r="264" spans="1:9" ht="12.75">
      <c r="A264" s="5"/>
      <c r="B264" s="1" t="s">
        <v>80</v>
      </c>
      <c r="C264" s="3">
        <f>(3/2)^1.42*E264</f>
        <v>8.092095220507591</v>
      </c>
      <c r="D264" s="2">
        <v>8.73</v>
      </c>
      <c r="E264" s="2">
        <v>4.55</v>
      </c>
      <c r="F264" s="4">
        <f>-((D264-C264)/D264)</f>
        <v>-0.07307042147679371</v>
      </c>
      <c r="G264" s="3">
        <f>C264-D264</f>
        <v>-0.6379047794924091</v>
      </c>
      <c r="H264" s="2">
        <v>1070</v>
      </c>
      <c r="I264" s="2" t="s">
        <v>77</v>
      </c>
    </row>
    <row r="265" spans="1:9" ht="12.75">
      <c r="A265" s="5"/>
      <c r="B265" s="1" t="s">
        <v>81</v>
      </c>
      <c r="C265" s="3">
        <f>(3/2)^1.42*E265</f>
        <v>18.087166679684003</v>
      </c>
      <c r="D265" s="2">
        <v>16.67</v>
      </c>
      <c r="E265" s="2">
        <v>10.17</v>
      </c>
      <c r="F265" s="4">
        <f>-((D265-C265)/D265)</f>
        <v>0.0850129981814038</v>
      </c>
      <c r="G265" s="3">
        <f>C265-D265</f>
        <v>1.4171666796840015</v>
      </c>
      <c r="H265" s="2">
        <v>1070</v>
      </c>
      <c r="I265" s="2" t="s">
        <v>77</v>
      </c>
    </row>
    <row r="266" spans="1:9" ht="12.75">
      <c r="A266" s="5"/>
      <c r="B266" t="s">
        <v>58</v>
      </c>
      <c r="C266" s="3">
        <f>(3/2)^1.42*E266</f>
        <v>13.445327443304922</v>
      </c>
      <c r="D266" s="2">
        <v>13.02</v>
      </c>
      <c r="E266" s="2">
        <v>7.56</v>
      </c>
      <c r="F266" s="4">
        <f>-((D266-C266)/D266)</f>
        <v>0.03266723834907241</v>
      </c>
      <c r="G266" s="3">
        <f>C266-D266</f>
        <v>0.4253274433049228</v>
      </c>
      <c r="H266" s="2">
        <v>1070</v>
      </c>
      <c r="I266" s="2" t="s">
        <v>77</v>
      </c>
    </row>
    <row r="267" spans="1:9" ht="12.75">
      <c r="A267" s="5"/>
      <c r="B267" s="1" t="s">
        <v>59</v>
      </c>
      <c r="C267" s="3">
        <f>(3/2)^1.42*E267</f>
        <v>11.61349050327793</v>
      </c>
      <c r="D267" s="2">
        <v>11.64</v>
      </c>
      <c r="E267" s="2">
        <v>6.53</v>
      </c>
      <c r="F267" s="4">
        <f>-((D267-C267)/D267)</f>
        <v>-0.002277448171999182</v>
      </c>
      <c r="G267" s="3">
        <f>C267-D267</f>
        <v>-0.02650949672207048</v>
      </c>
      <c r="H267" s="2">
        <v>1070</v>
      </c>
      <c r="I267" s="2" t="s">
        <v>77</v>
      </c>
    </row>
    <row r="268" spans="1:9" ht="12.75">
      <c r="A268" s="5"/>
      <c r="B268" s="1" t="s">
        <v>82</v>
      </c>
      <c r="C268" s="3">
        <f>(3/2)^1.42*E268</f>
        <v>11.951402171826597</v>
      </c>
      <c r="D268" s="2">
        <v>12.35</v>
      </c>
      <c r="E268" s="2">
        <v>6.72</v>
      </c>
      <c r="F268" s="4">
        <f>-((D268-C268)/D268)</f>
        <v>-0.03227512778732003</v>
      </c>
      <c r="G268" s="3">
        <f>C268-D268</f>
        <v>-0.3985978281734024</v>
      </c>
      <c r="H268" s="2">
        <v>1070</v>
      </c>
      <c r="I268" s="2" t="s">
        <v>77</v>
      </c>
    </row>
    <row r="269" spans="1:9" ht="12.75">
      <c r="A269" s="5"/>
      <c r="B269" s="1" t="s">
        <v>83</v>
      </c>
      <c r="C269" s="3">
        <f>(3/2)^1.42*E269</f>
        <v>17.66033088783305</v>
      </c>
      <c r="D269" s="2">
        <v>17.05</v>
      </c>
      <c r="E269" s="2">
        <v>9.93</v>
      </c>
      <c r="F269" s="4">
        <f>-((D269-C269)/D269)</f>
        <v>0.03579653301073612</v>
      </c>
      <c r="G269" s="3">
        <f>C269-D269</f>
        <v>0.6103308878330509</v>
      </c>
      <c r="H269" s="2">
        <v>1070</v>
      </c>
      <c r="I269" s="2" t="s">
        <v>77</v>
      </c>
    </row>
    <row r="270" spans="1:9" ht="12.75">
      <c r="A270" s="5"/>
      <c r="B270" s="1" t="s">
        <v>84</v>
      </c>
      <c r="C270" s="3">
        <f>(3/2)^1.42*E270</f>
        <v>13.178555073398078</v>
      </c>
      <c r="D270" s="2">
        <v>13.66</v>
      </c>
      <c r="E270" s="2">
        <v>7.41</v>
      </c>
      <c r="F270" s="4">
        <f>-((D270-C270)/D270)</f>
        <v>-0.03524487017583617</v>
      </c>
      <c r="G270" s="3">
        <f>C270-D270</f>
        <v>-0.48144492660192206</v>
      </c>
      <c r="H270" s="2">
        <v>1070</v>
      </c>
      <c r="I270" s="2" t="s">
        <v>77</v>
      </c>
    </row>
    <row r="271" spans="1:9" ht="12.75">
      <c r="A271" s="5"/>
      <c r="B271" s="1" t="s">
        <v>48</v>
      </c>
      <c r="C271" s="3">
        <f>(3/2)^1.42*E271</f>
        <v>12.805073755528499</v>
      </c>
      <c r="D271" s="2">
        <v>12.84</v>
      </c>
      <c r="E271" s="2">
        <v>7.2</v>
      </c>
      <c r="F271" s="4">
        <f>-((D271-C271)/D271)</f>
        <v>-0.0027201124977804733</v>
      </c>
      <c r="G271" s="3">
        <f>C271-D271</f>
        <v>-0.03492624447150128</v>
      </c>
      <c r="H271" s="2">
        <v>1070</v>
      </c>
      <c r="I271" s="2" t="s">
        <v>77</v>
      </c>
    </row>
    <row r="272" spans="1:9" ht="12.75">
      <c r="A272" s="5"/>
      <c r="B272" s="1" t="s">
        <v>50</v>
      </c>
      <c r="C272" s="3">
        <f>(3/2)^1.42*E272</f>
        <v>15.419442980615566</v>
      </c>
      <c r="D272" s="2">
        <v>15.11</v>
      </c>
      <c r="E272" s="2">
        <v>8.67</v>
      </c>
      <c r="F272" s="4">
        <f>-((D272-C272)/D272)</f>
        <v>0.020479350140011007</v>
      </c>
      <c r="G272" s="3">
        <f>C272-D272</f>
        <v>0.3094429806155663</v>
      </c>
      <c r="H272" s="2">
        <v>1070</v>
      </c>
      <c r="I272" s="2" t="s">
        <v>77</v>
      </c>
    </row>
    <row r="273" spans="1:9" ht="12.75">
      <c r="A273" s="5"/>
      <c r="B273" s="1"/>
      <c r="C273" s="3"/>
      <c r="D273" s="2"/>
      <c r="E273" s="2" t="s">
        <v>14</v>
      </c>
      <c r="F273" s="4">
        <f>AVERAGE(F260:F272)</f>
        <v>0.001406332640878149</v>
      </c>
      <c r="G273" s="3">
        <f>AVERAGE(G260:G272)</f>
        <v>0.09849218138137676</v>
      </c>
      <c r="H273" s="2"/>
      <c r="I273" s="2"/>
    </row>
    <row r="274" spans="1:9" ht="12.75">
      <c r="A274" s="5"/>
      <c r="B274" s="1"/>
      <c r="C274" s="3"/>
      <c r="D274" s="2"/>
      <c r="E274" s="2"/>
      <c r="F274" s="4"/>
      <c r="G274" s="3"/>
      <c r="H274" s="2"/>
      <c r="I274" s="2"/>
    </row>
    <row r="275" spans="1:9" ht="12.75">
      <c r="A275" s="5" t="s">
        <v>0</v>
      </c>
      <c r="B275" s="5" t="s">
        <v>1</v>
      </c>
      <c r="C275" s="5" t="s">
        <v>15</v>
      </c>
      <c r="D275" s="6" t="s">
        <v>3</v>
      </c>
      <c r="E275" s="6" t="s">
        <v>4</v>
      </c>
      <c r="F275" s="5" t="s">
        <v>5</v>
      </c>
      <c r="G275" s="6" t="s">
        <v>6</v>
      </c>
      <c r="H275" s="6" t="s">
        <v>7</v>
      </c>
      <c r="I275" s="6" t="s">
        <v>8</v>
      </c>
    </row>
    <row r="276" spans="1:9" ht="12.75">
      <c r="A276" s="5" t="s">
        <v>79</v>
      </c>
      <c r="B276" s="5" t="s">
        <v>44</v>
      </c>
      <c r="C276" s="7">
        <f>(3/2)^2*E276</f>
        <v>22.3875</v>
      </c>
      <c r="D276" s="6">
        <v>16.78</v>
      </c>
      <c r="E276" s="6">
        <v>9.95</v>
      </c>
      <c r="F276" s="8">
        <f>-((D276-C276)/D276)</f>
        <v>0.33417759237187117</v>
      </c>
      <c r="G276" s="7">
        <f>C276-D276</f>
        <v>5.607499999999998</v>
      </c>
      <c r="H276" s="6">
        <v>1070</v>
      </c>
      <c r="I276" s="6" t="s">
        <v>77</v>
      </c>
    </row>
    <row r="277" spans="1:9" ht="12.75">
      <c r="A277" s="5"/>
      <c r="B277" s="5" t="s">
        <v>46</v>
      </c>
      <c r="C277" s="7">
        <f>(3/2)^2*E277</f>
        <v>16.1325</v>
      </c>
      <c r="D277" s="6">
        <v>12.8</v>
      </c>
      <c r="E277" s="6">
        <v>7.17</v>
      </c>
      <c r="F277" s="8">
        <f>-((D277-C277)/D277)</f>
        <v>0.26035156249999997</v>
      </c>
      <c r="G277" s="7">
        <f>C277-D277</f>
        <v>3.3324999999999996</v>
      </c>
      <c r="H277" s="6">
        <v>1070</v>
      </c>
      <c r="I277" s="6" t="s">
        <v>77</v>
      </c>
    </row>
    <row r="278" spans="1:9" ht="12.75">
      <c r="A278" s="5"/>
      <c r="B278" s="5" t="s">
        <v>47</v>
      </c>
      <c r="C278" s="7">
        <f>(3/2)^2*E278</f>
        <v>17.325</v>
      </c>
      <c r="D278" s="6">
        <v>14.04</v>
      </c>
      <c r="E278" s="6">
        <v>7.7</v>
      </c>
      <c r="F278" s="8">
        <f>-((D278-C278)/D278)</f>
        <v>0.233974358974359</v>
      </c>
      <c r="G278" s="7">
        <f>C278-D278</f>
        <v>3.285</v>
      </c>
      <c r="H278" s="6">
        <v>1070</v>
      </c>
      <c r="I278" s="6" t="s">
        <v>77</v>
      </c>
    </row>
    <row r="279" spans="1:9" ht="12.75">
      <c r="A279" s="5"/>
      <c r="B279" s="5" t="s">
        <v>25</v>
      </c>
      <c r="C279" s="7">
        <f>(3/2)^2*E279</f>
        <v>14.265</v>
      </c>
      <c r="D279" s="6">
        <v>11.7</v>
      </c>
      <c r="E279" s="6">
        <v>6.34</v>
      </c>
      <c r="F279" s="8">
        <f>-((D279-C279)/D279)</f>
        <v>0.21923076923076934</v>
      </c>
      <c r="G279" s="7">
        <f>C279-D279</f>
        <v>2.5650000000000013</v>
      </c>
      <c r="H279" s="6">
        <v>1070</v>
      </c>
      <c r="I279" s="6" t="s">
        <v>77</v>
      </c>
    </row>
    <row r="280" spans="1:9" ht="12.75">
      <c r="A280" s="5"/>
      <c r="B280" s="5" t="s">
        <v>80</v>
      </c>
      <c r="C280" s="7">
        <f>(3/2)^2*E280</f>
        <v>10.237499999999999</v>
      </c>
      <c r="D280" s="6">
        <v>8.73</v>
      </c>
      <c r="E280" s="6">
        <v>4.55</v>
      </c>
      <c r="F280" s="8">
        <f>-((D280-C280)/D280)</f>
        <v>0.17268041237113385</v>
      </c>
      <c r="G280" s="7">
        <f>C280-D280</f>
        <v>1.5074999999999985</v>
      </c>
      <c r="H280" s="6">
        <v>1070</v>
      </c>
      <c r="I280" s="6" t="s">
        <v>77</v>
      </c>
    </row>
    <row r="281" spans="1:9" ht="12.75">
      <c r="A281" s="5"/>
      <c r="B281" s="5" t="s">
        <v>81</v>
      </c>
      <c r="C281" s="7">
        <f>(3/2)^2*E281</f>
        <v>22.8825</v>
      </c>
      <c r="D281" s="6">
        <v>16.67</v>
      </c>
      <c r="E281" s="6">
        <v>10.17</v>
      </c>
      <c r="F281" s="8">
        <f>-((D281-C281)/D281)</f>
        <v>0.37267546490701847</v>
      </c>
      <c r="G281" s="7">
        <f>C281-D281</f>
        <v>6.212499999999999</v>
      </c>
      <c r="H281" s="6">
        <v>1070</v>
      </c>
      <c r="I281" s="6" t="s">
        <v>77</v>
      </c>
    </row>
    <row r="282" spans="1:9" ht="12.75">
      <c r="A282" s="5"/>
      <c r="B282" s="5" t="s">
        <v>58</v>
      </c>
      <c r="C282" s="7">
        <f>(3/2)^2*E282</f>
        <v>17.009999999999998</v>
      </c>
      <c r="D282" s="6">
        <v>13.02</v>
      </c>
      <c r="E282" s="6">
        <v>7.56</v>
      </c>
      <c r="F282" s="8">
        <f>-((D282-C282)/D282)</f>
        <v>0.3064516129032257</v>
      </c>
      <c r="G282" s="7">
        <f>C282-D282</f>
        <v>3.9899999999999984</v>
      </c>
      <c r="H282" s="6">
        <v>1070</v>
      </c>
      <c r="I282" s="6" t="s">
        <v>77</v>
      </c>
    </row>
    <row r="283" spans="1:9" ht="12.75">
      <c r="A283" s="5"/>
      <c r="B283" s="5" t="s">
        <v>59</v>
      </c>
      <c r="C283" s="7">
        <f>(3/2)^2*E283</f>
        <v>14.6925</v>
      </c>
      <c r="D283" s="6">
        <v>11.64</v>
      </c>
      <c r="E283" s="6">
        <v>6.53</v>
      </c>
      <c r="F283" s="8">
        <f>-((D283-C283)/D283)</f>
        <v>0.2622422680412371</v>
      </c>
      <c r="G283" s="7">
        <f>C283-D283</f>
        <v>3.0525</v>
      </c>
      <c r="H283" s="6">
        <v>1070</v>
      </c>
      <c r="I283" s="6" t="s">
        <v>77</v>
      </c>
    </row>
    <row r="284" spans="1:9" ht="12.75">
      <c r="A284" s="5"/>
      <c r="B284" s="5" t="s">
        <v>82</v>
      </c>
      <c r="C284" s="7">
        <f>(3/2)^2*E284</f>
        <v>15.12</v>
      </c>
      <c r="D284" s="6">
        <v>12.35</v>
      </c>
      <c r="E284" s="6">
        <v>6.72</v>
      </c>
      <c r="F284" s="8">
        <f>-((D284-C284)/D284)</f>
        <v>0.22429149797570846</v>
      </c>
      <c r="G284" s="7">
        <f>C284-D284</f>
        <v>2.7699999999999996</v>
      </c>
      <c r="H284" s="6">
        <v>1070</v>
      </c>
      <c r="I284" s="6" t="s">
        <v>77</v>
      </c>
    </row>
    <row r="285" spans="1:9" ht="12.75">
      <c r="A285" s="5"/>
      <c r="B285" s="5" t="s">
        <v>83</v>
      </c>
      <c r="C285" s="7">
        <f>(3/2)^2*E285</f>
        <v>22.3425</v>
      </c>
      <c r="D285" s="6">
        <v>17.05</v>
      </c>
      <c r="E285" s="6">
        <v>9.93</v>
      </c>
      <c r="F285" s="8">
        <f>-((D285-C285)/D285)</f>
        <v>0.31041055718475075</v>
      </c>
      <c r="G285" s="7">
        <f>C285-D285</f>
        <v>5.2925</v>
      </c>
      <c r="H285" s="6">
        <v>1070</v>
      </c>
      <c r="I285" s="6" t="s">
        <v>77</v>
      </c>
    </row>
    <row r="286" spans="1:9" ht="12.75">
      <c r="A286" s="5"/>
      <c r="B286" s="5" t="s">
        <v>84</v>
      </c>
      <c r="C286" s="7">
        <f>(3/2)^2*E286</f>
        <v>16.6725</v>
      </c>
      <c r="D286" s="6">
        <v>13.66</v>
      </c>
      <c r="E286" s="6">
        <v>7.41</v>
      </c>
      <c r="F286" s="8">
        <f>-((D286-C286)/D286)</f>
        <v>0.2205344070278184</v>
      </c>
      <c r="G286" s="7">
        <f>C286-D286</f>
        <v>3.0124999999999993</v>
      </c>
      <c r="H286" s="6">
        <v>1070</v>
      </c>
      <c r="I286" s="6" t="s">
        <v>77</v>
      </c>
    </row>
    <row r="287" spans="1:9" ht="12.75">
      <c r="A287" s="5"/>
      <c r="B287" s="5" t="s">
        <v>48</v>
      </c>
      <c r="C287" s="7">
        <f>(3/2)^2*E287</f>
        <v>16.2</v>
      </c>
      <c r="D287" s="6">
        <v>12.84</v>
      </c>
      <c r="E287" s="6">
        <v>7.2</v>
      </c>
      <c r="F287" s="8">
        <f>-((D287-C287)/D287)</f>
        <v>0.2616822429906542</v>
      </c>
      <c r="G287" s="7">
        <f>C287-D287</f>
        <v>3.3599999999999994</v>
      </c>
      <c r="H287" s="6">
        <v>1070</v>
      </c>
      <c r="I287" s="6" t="s">
        <v>77</v>
      </c>
    </row>
    <row r="288" spans="1:9" ht="12.75">
      <c r="A288" s="5"/>
      <c r="B288" s="5" t="s">
        <v>50</v>
      </c>
      <c r="C288" s="7">
        <f>(3/2)^2*E288</f>
        <v>19.5075</v>
      </c>
      <c r="D288" s="6">
        <v>15.11</v>
      </c>
      <c r="E288" s="6">
        <v>8.67</v>
      </c>
      <c r="F288" s="8">
        <f>-((D288-C288)/D288)</f>
        <v>0.2910324288550629</v>
      </c>
      <c r="G288" s="7">
        <f>C288-D288</f>
        <v>4.397500000000001</v>
      </c>
      <c r="H288" s="6">
        <v>1070</v>
      </c>
      <c r="I288" s="6" t="s">
        <v>77</v>
      </c>
    </row>
    <row r="289" spans="1:9" ht="12.75">
      <c r="A289" s="5"/>
      <c r="B289" s="5"/>
      <c r="C289" s="7"/>
      <c r="D289" s="6"/>
      <c r="E289" s="6" t="s">
        <v>14</v>
      </c>
      <c r="F289" s="8">
        <f>AVERAGE(F276:F288)</f>
        <v>0.26690270579489306</v>
      </c>
      <c r="G289" s="7">
        <f>AVERAGE(G276:G288)</f>
        <v>3.7219230769230762</v>
      </c>
      <c r="H289" s="6"/>
      <c r="I289" s="6"/>
    </row>
    <row r="290" spans="1:9" ht="12.75">
      <c r="A290" s="5"/>
      <c r="B290" s="1"/>
      <c r="C290" s="3"/>
      <c r="D290" s="2"/>
      <c r="E290" s="2"/>
      <c r="F290" s="4"/>
      <c r="G290" s="3"/>
      <c r="H290" s="2"/>
      <c r="I290" s="2"/>
    </row>
    <row r="291" spans="1:9" ht="12.75">
      <c r="A291" s="1" t="s">
        <v>0</v>
      </c>
      <c r="B291" s="1" t="s">
        <v>1</v>
      </c>
      <c r="C291" s="1" t="s">
        <v>16</v>
      </c>
      <c r="D291" s="2" t="s">
        <v>3</v>
      </c>
      <c r="E291" s="2" t="s">
        <v>4</v>
      </c>
      <c r="F291" s="1" t="s">
        <v>5</v>
      </c>
      <c r="G291" s="2" t="s">
        <v>6</v>
      </c>
      <c r="H291" s="2" t="s">
        <v>7</v>
      </c>
      <c r="I291" s="2" t="s">
        <v>8</v>
      </c>
    </row>
    <row r="292" spans="1:9" ht="12.75">
      <c r="A292" s="1" t="s">
        <v>85</v>
      </c>
      <c r="B292" s="1" t="s">
        <v>44</v>
      </c>
      <c r="C292" s="3">
        <f>(3/2)^1.47*E292</f>
        <v>15.02742217856444</v>
      </c>
      <c r="D292" s="2">
        <v>14.23</v>
      </c>
      <c r="E292" s="2">
        <v>8.28</v>
      </c>
      <c r="F292" s="4">
        <f>-((D292-C292)/D292)</f>
        <v>0.056038101093776445</v>
      </c>
      <c r="G292" s="3">
        <f>C292-D292</f>
        <v>0.7974221785644389</v>
      </c>
      <c r="H292" s="2">
        <v>960</v>
      </c>
      <c r="I292" s="2" t="s">
        <v>77</v>
      </c>
    </row>
    <row r="293" spans="1:9" ht="12.75">
      <c r="A293" s="1"/>
      <c r="B293" s="1" t="s">
        <v>46</v>
      </c>
      <c r="C293" s="3">
        <f>(3/2)^1.47*E293</f>
        <v>10.562753270440224</v>
      </c>
      <c r="D293" s="2">
        <v>10.51</v>
      </c>
      <c r="E293" s="2">
        <v>5.82</v>
      </c>
      <c r="F293" s="4">
        <f>-((D293-C293)/D293)</f>
        <v>0.005019340669859567</v>
      </c>
      <c r="G293" s="3">
        <f>C293-D293</f>
        <v>0.05275327044022404</v>
      </c>
      <c r="H293" s="2">
        <v>960</v>
      </c>
      <c r="I293" s="2" t="s">
        <v>77</v>
      </c>
    </row>
    <row r="294" spans="1:9" ht="12.75">
      <c r="A294" s="5"/>
      <c r="B294" s="1" t="s">
        <v>55</v>
      </c>
      <c r="C294" s="3">
        <f>(3/2)^1.47*E294</f>
        <v>15.227061845187881</v>
      </c>
      <c r="D294" s="2">
        <v>14.63</v>
      </c>
      <c r="E294" s="2">
        <v>8.39</v>
      </c>
      <c r="F294" s="4">
        <f>-((D294-C294)/D294)</f>
        <v>0.040810789144762855</v>
      </c>
      <c r="G294" s="3">
        <f>C294-D294</f>
        <v>0.5970618451878806</v>
      </c>
      <c r="H294" s="2">
        <v>960</v>
      </c>
      <c r="I294" s="2" t="s">
        <v>77</v>
      </c>
    </row>
    <row r="295" spans="1:9" ht="12.75">
      <c r="A295" s="5"/>
      <c r="B295" s="1" t="s">
        <v>86</v>
      </c>
      <c r="C295" s="3">
        <f>(3/2)^1.47*E295</f>
        <v>13.90218042123232</v>
      </c>
      <c r="D295" s="2">
        <v>13.68</v>
      </c>
      <c r="E295" s="2">
        <v>7.66</v>
      </c>
      <c r="F295" s="4">
        <f>-((D295-C295)/D295)</f>
        <v>0.016241258862011693</v>
      </c>
      <c r="G295" s="3">
        <f>C295-D295</f>
        <v>0.22218042123231996</v>
      </c>
      <c r="H295" s="2">
        <v>960</v>
      </c>
      <c r="I295" s="2" t="s">
        <v>77</v>
      </c>
    </row>
    <row r="296" spans="1:9" ht="12.75">
      <c r="A296" s="5"/>
      <c r="B296" s="1" t="s">
        <v>47</v>
      </c>
      <c r="C296" s="3">
        <f>(3/2)^1.47*E296</f>
        <v>11.161672270310545</v>
      </c>
      <c r="D296" s="2">
        <v>11.56</v>
      </c>
      <c r="E296" s="2">
        <v>6.15</v>
      </c>
      <c r="F296" s="4">
        <f>-((D296-C296)/D296)</f>
        <v>-0.034457416063101695</v>
      </c>
      <c r="G296" s="3">
        <f>C296-D296</f>
        <v>-0.3983277296894556</v>
      </c>
      <c r="H296" s="2">
        <v>960</v>
      </c>
      <c r="I296" s="2" t="s">
        <v>77</v>
      </c>
    </row>
    <row r="297" spans="1:9" ht="12.75">
      <c r="A297" s="5"/>
      <c r="B297" s="1" t="s">
        <v>25</v>
      </c>
      <c r="C297" s="3">
        <f>(3/2)^1.47*E297</f>
        <v>9.056381240463352</v>
      </c>
      <c r="D297" s="2">
        <v>9.57</v>
      </c>
      <c r="E297" s="2">
        <v>4.99</v>
      </c>
      <c r="F297" s="4">
        <f>-((D297-C297)/D297)</f>
        <v>-0.05366967184290992</v>
      </c>
      <c r="G297" s="3">
        <f>C297-D297</f>
        <v>-0.5136187595366479</v>
      </c>
      <c r="H297" s="2">
        <v>960</v>
      </c>
      <c r="I297" s="2" t="s">
        <v>77</v>
      </c>
    </row>
    <row r="298" spans="1:9" ht="12.75">
      <c r="A298" s="5"/>
      <c r="B298" s="1" t="s">
        <v>87</v>
      </c>
      <c r="C298" s="3">
        <f>(3/2)^1.47*E298</f>
        <v>14.228863512070678</v>
      </c>
      <c r="D298" s="2">
        <v>14.55</v>
      </c>
      <c r="E298" s="2">
        <v>7.84</v>
      </c>
      <c r="F298" s="4">
        <f>-((D298-C298)/D298)</f>
        <v>-0.022071236283802254</v>
      </c>
      <c r="G298" s="3">
        <f>C298-D298</f>
        <v>-0.3211364879293228</v>
      </c>
      <c r="H298" s="2">
        <v>960</v>
      </c>
      <c r="I298" s="2" t="s">
        <v>77</v>
      </c>
    </row>
    <row r="299" spans="1:9" ht="12.75">
      <c r="A299" s="5"/>
      <c r="B299" s="1" t="s">
        <v>83</v>
      </c>
      <c r="C299" s="3">
        <f>(3/2)^1.47*E299</f>
        <v>14.664440966521822</v>
      </c>
      <c r="D299" s="2">
        <v>14.37</v>
      </c>
      <c r="E299" s="2">
        <v>8.08</v>
      </c>
      <c r="F299" s="4">
        <f>-((D299-C299)/D299)</f>
        <v>0.020489976793446236</v>
      </c>
      <c r="G299" s="3">
        <f>C299-D299</f>
        <v>0.2944409665218224</v>
      </c>
      <c r="H299" s="2">
        <v>960</v>
      </c>
      <c r="I299" s="2" t="s">
        <v>77</v>
      </c>
    </row>
    <row r="300" spans="1:9" ht="12.75">
      <c r="A300" s="5"/>
      <c r="B300" s="1" t="s">
        <v>48</v>
      </c>
      <c r="C300" s="3">
        <f>(3/2)^1.47*E300</f>
        <v>10.52645514923596</v>
      </c>
      <c r="D300" s="2">
        <v>10.7</v>
      </c>
      <c r="E300" s="2">
        <v>5.8</v>
      </c>
      <c r="F300" s="4">
        <f>-((D300-C300)/D300)</f>
        <v>-0.01621914493121855</v>
      </c>
      <c r="G300" s="3">
        <f>C300-D300</f>
        <v>-0.17354485076403847</v>
      </c>
      <c r="H300" s="2">
        <v>960</v>
      </c>
      <c r="I300" s="2" t="s">
        <v>77</v>
      </c>
    </row>
    <row r="301" spans="1:9" ht="12.75">
      <c r="A301" s="5"/>
      <c r="B301" s="1" t="s">
        <v>50</v>
      </c>
      <c r="C301" s="3">
        <f>(3/2)^1.47*E301</f>
        <v>12.7769386639002</v>
      </c>
      <c r="D301" s="2">
        <v>12.76</v>
      </c>
      <c r="E301" s="2">
        <v>7.04</v>
      </c>
      <c r="F301" s="4">
        <f>-((D301-C301)/D301)</f>
        <v>0.0013274814968808988</v>
      </c>
      <c r="G301" s="3">
        <f>C301-D301</f>
        <v>0.016938663900200268</v>
      </c>
      <c r="H301" s="2">
        <v>960</v>
      </c>
      <c r="I301" s="2" t="s">
        <v>77</v>
      </c>
    </row>
    <row r="302" spans="1:9" ht="12.75">
      <c r="A302" s="5"/>
      <c r="B302" s="1"/>
      <c r="C302" s="3"/>
      <c r="D302" s="2"/>
      <c r="E302" s="2" t="s">
        <v>14</v>
      </c>
      <c r="F302" s="4">
        <f>AVERAGE(F292:F301)</f>
        <v>0.0013509478939705277</v>
      </c>
      <c r="G302" s="3">
        <f>AVERAGE(G292:G301)</f>
        <v>0.05741695179274213</v>
      </c>
      <c r="H302" s="2"/>
      <c r="I302" s="2"/>
    </row>
    <row r="303" spans="1:9" ht="12.75">
      <c r="A303" s="5"/>
      <c r="B303" s="1"/>
      <c r="C303" s="3"/>
      <c r="D303" s="2"/>
      <c r="E303" s="2"/>
      <c r="F303" s="4"/>
      <c r="G303" s="3"/>
      <c r="H303" s="2"/>
      <c r="I303" s="2"/>
    </row>
    <row r="304" spans="1:9" ht="12.75">
      <c r="A304" s="5" t="s">
        <v>0</v>
      </c>
      <c r="B304" s="5" t="s">
        <v>1</v>
      </c>
      <c r="C304" s="5" t="s">
        <v>15</v>
      </c>
      <c r="D304" s="6" t="s">
        <v>3</v>
      </c>
      <c r="E304" s="6" t="s">
        <v>4</v>
      </c>
      <c r="F304" s="5" t="s">
        <v>5</v>
      </c>
      <c r="G304" s="6" t="s">
        <v>6</v>
      </c>
      <c r="H304" s="6" t="s">
        <v>7</v>
      </c>
      <c r="I304" s="6" t="s">
        <v>8</v>
      </c>
    </row>
    <row r="305" spans="1:9" ht="12.75">
      <c r="A305" s="5" t="s">
        <v>85</v>
      </c>
      <c r="B305" s="5" t="s">
        <v>44</v>
      </c>
      <c r="C305" s="7">
        <f>(3/2)^2*E305</f>
        <v>18.63</v>
      </c>
      <c r="D305" s="6">
        <v>14.23</v>
      </c>
      <c r="E305" s="6">
        <v>8.28</v>
      </c>
      <c r="F305" s="8">
        <f>-((D305-C305)/D305)</f>
        <v>0.30920590302178486</v>
      </c>
      <c r="G305" s="7">
        <f>C305-D305</f>
        <v>4.399999999999999</v>
      </c>
      <c r="H305" s="6">
        <v>960</v>
      </c>
      <c r="I305" s="6" t="s">
        <v>77</v>
      </c>
    </row>
    <row r="306" spans="1:9" ht="12.75">
      <c r="A306" s="5"/>
      <c r="B306" s="5" t="s">
        <v>46</v>
      </c>
      <c r="C306" s="7">
        <f>(3/2)^2*E306</f>
        <v>13.095</v>
      </c>
      <c r="D306" s="6">
        <v>10.51</v>
      </c>
      <c r="E306" s="6">
        <v>5.82</v>
      </c>
      <c r="F306" s="8">
        <f>-((D306-C306)/D306)</f>
        <v>0.24595623215984785</v>
      </c>
      <c r="G306" s="7">
        <f>C306-D306</f>
        <v>2.585000000000001</v>
      </c>
      <c r="H306" s="6">
        <v>960</v>
      </c>
      <c r="I306" s="6" t="s">
        <v>77</v>
      </c>
    </row>
    <row r="307" spans="1:9" ht="12.75">
      <c r="A307" s="5"/>
      <c r="B307" s="5" t="s">
        <v>55</v>
      </c>
      <c r="C307" s="7">
        <f>(3/2)^2*E307</f>
        <v>18.8775</v>
      </c>
      <c r="D307" s="6">
        <v>14.63</v>
      </c>
      <c r="E307" s="6">
        <v>8.39</v>
      </c>
      <c r="F307" s="8">
        <f>-((D307-C307)/D307)</f>
        <v>0.29032809295967194</v>
      </c>
      <c r="G307" s="7">
        <f>C307-D307</f>
        <v>4.2475000000000005</v>
      </c>
      <c r="H307" s="6">
        <v>960</v>
      </c>
      <c r="I307" s="6" t="s">
        <v>77</v>
      </c>
    </row>
    <row r="308" spans="1:9" ht="12.75">
      <c r="A308" s="5"/>
      <c r="B308" s="5" t="s">
        <v>86</v>
      </c>
      <c r="C308" s="7">
        <f>(3/2)^2*E308</f>
        <v>17.235</v>
      </c>
      <c r="D308" s="6">
        <v>13.68</v>
      </c>
      <c r="E308" s="6">
        <v>7.66</v>
      </c>
      <c r="F308" s="8">
        <f>-((D308-C308)/D308)</f>
        <v>0.2598684210526316</v>
      </c>
      <c r="G308" s="7">
        <f>C308-D308</f>
        <v>3.5549999999999997</v>
      </c>
      <c r="H308" s="6">
        <v>960</v>
      </c>
      <c r="I308" s="6" t="s">
        <v>77</v>
      </c>
    </row>
    <row r="309" spans="1:9" ht="12.75">
      <c r="A309" s="5"/>
      <c r="B309" s="5" t="s">
        <v>47</v>
      </c>
      <c r="C309" s="7">
        <f>(3/2)^2*E309</f>
        <v>13.8375</v>
      </c>
      <c r="D309" s="6">
        <v>11.56</v>
      </c>
      <c r="E309" s="6">
        <v>6.15</v>
      </c>
      <c r="F309" s="8">
        <f>-((D309-C309)/D309)</f>
        <v>0.19701557093425603</v>
      </c>
      <c r="G309" s="7">
        <f>C309-D309</f>
        <v>2.2775</v>
      </c>
      <c r="H309" s="6">
        <v>960</v>
      </c>
      <c r="I309" s="6" t="s">
        <v>77</v>
      </c>
    </row>
    <row r="310" spans="1:9" ht="12.75">
      <c r="A310" s="5"/>
      <c r="B310" s="5" t="s">
        <v>25</v>
      </c>
      <c r="C310" s="7">
        <f>(3/2)^2*E310</f>
        <v>11.227500000000001</v>
      </c>
      <c r="D310" s="6">
        <v>9.57</v>
      </c>
      <c r="E310" s="6">
        <v>4.99</v>
      </c>
      <c r="F310" s="8">
        <f>-((D310-C310)/D310)</f>
        <v>0.17319749216300948</v>
      </c>
      <c r="G310" s="7">
        <f>C310-D310</f>
        <v>1.6575000000000006</v>
      </c>
      <c r="H310" s="6">
        <v>960</v>
      </c>
      <c r="I310" s="6" t="s">
        <v>77</v>
      </c>
    </row>
    <row r="311" spans="1:9" ht="12.75">
      <c r="A311" s="5"/>
      <c r="B311" s="5" t="s">
        <v>87</v>
      </c>
      <c r="C311" s="7">
        <f>(3/2)^2*E311</f>
        <v>17.64</v>
      </c>
      <c r="D311" s="6">
        <v>14.55</v>
      </c>
      <c r="E311" s="6">
        <v>7.84</v>
      </c>
      <c r="F311" s="8">
        <f>-((D311-C311)/D311)</f>
        <v>0.21237113402061852</v>
      </c>
      <c r="G311" s="7">
        <f>C311-D311</f>
        <v>3.09</v>
      </c>
      <c r="H311" s="6">
        <v>960</v>
      </c>
      <c r="I311" s="6" t="s">
        <v>77</v>
      </c>
    </row>
    <row r="312" spans="1:9" ht="12.75">
      <c r="A312" s="5"/>
      <c r="B312" s="5" t="s">
        <v>83</v>
      </c>
      <c r="C312" s="7">
        <f>(3/2)^2*E312</f>
        <v>18.18</v>
      </c>
      <c r="D312" s="6">
        <v>14.37</v>
      </c>
      <c r="E312" s="6">
        <v>8.08</v>
      </c>
      <c r="F312" s="8">
        <f>-((D312-C312)/D312)</f>
        <v>0.26513569937369524</v>
      </c>
      <c r="G312" s="7">
        <f>C312-D312</f>
        <v>3.8100000000000005</v>
      </c>
      <c r="H312" s="6">
        <v>960</v>
      </c>
      <c r="I312" s="6" t="s">
        <v>77</v>
      </c>
    </row>
    <row r="313" spans="1:9" ht="12.75">
      <c r="A313" s="5"/>
      <c r="B313" s="5" t="s">
        <v>48</v>
      </c>
      <c r="C313" s="7">
        <f>(3/2)^2*E313</f>
        <v>13.049999999999999</v>
      </c>
      <c r="D313" s="6">
        <v>10.7</v>
      </c>
      <c r="E313" s="6">
        <v>5.8</v>
      </c>
      <c r="F313" s="8">
        <f>-((D313-C313)/D313)</f>
        <v>0.21962616822429903</v>
      </c>
      <c r="G313" s="7">
        <f>C313-D313</f>
        <v>2.3499999999999996</v>
      </c>
      <c r="H313" s="6">
        <v>960</v>
      </c>
      <c r="I313" s="6" t="s">
        <v>77</v>
      </c>
    </row>
    <row r="314" spans="1:9" ht="12.75">
      <c r="A314" s="5"/>
      <c r="B314" s="5" t="s">
        <v>50</v>
      </c>
      <c r="C314" s="7">
        <f>(3/2)^2*E314</f>
        <v>15.84</v>
      </c>
      <c r="D314" s="6">
        <v>12.76</v>
      </c>
      <c r="E314" s="6">
        <v>7.04</v>
      </c>
      <c r="F314" s="8">
        <f>-((D314-C314)/D314)</f>
        <v>0.2413793103448276</v>
      </c>
      <c r="G314" s="7">
        <f>C314-D314</f>
        <v>3.08</v>
      </c>
      <c r="H314" s="6">
        <v>960</v>
      </c>
      <c r="I314" s="6" t="s">
        <v>77</v>
      </c>
    </row>
    <row r="315" spans="1:9" ht="12.75">
      <c r="A315" s="5"/>
      <c r="B315" s="5"/>
      <c r="C315" s="7"/>
      <c r="D315" s="6"/>
      <c r="E315" s="6" t="s">
        <v>14</v>
      </c>
      <c r="F315" s="8">
        <f>AVERAGE(F305:F314)</f>
        <v>0.2414084024254642</v>
      </c>
      <c r="G315" s="7">
        <f>AVERAGE(G305:G314)</f>
        <v>3.1052500000000003</v>
      </c>
      <c r="H315" s="6"/>
      <c r="I315" s="6"/>
    </row>
    <row r="316" spans="1:9" ht="12.75">
      <c r="A316" s="5"/>
      <c r="B316" s="1"/>
      <c r="C316" s="3"/>
      <c r="D316" s="2"/>
      <c r="E316" s="2"/>
      <c r="F316" s="4"/>
      <c r="G316" s="3"/>
      <c r="H316" s="2"/>
      <c r="I316" s="2"/>
    </row>
    <row r="317" spans="1:9" ht="12.75">
      <c r="A317" s="20" t="s">
        <v>0</v>
      </c>
      <c r="B317" s="20" t="s">
        <v>1</v>
      </c>
      <c r="C317" s="16" t="s">
        <v>88</v>
      </c>
      <c r="D317" s="16" t="s">
        <v>73</v>
      </c>
      <c r="E317" s="16" t="s">
        <v>3</v>
      </c>
      <c r="F317" s="16" t="s">
        <v>5</v>
      </c>
      <c r="G317" s="16" t="s">
        <v>6</v>
      </c>
      <c r="H317" s="16" t="s">
        <v>7</v>
      </c>
      <c r="I317" s="16" t="s">
        <v>8</v>
      </c>
    </row>
    <row r="318" spans="1:9" ht="12.75">
      <c r="A318" s="20" t="s">
        <v>85</v>
      </c>
      <c r="B318" s="20" t="s">
        <v>52</v>
      </c>
      <c r="C318" s="21">
        <f>(4/3)^1.46*E318</f>
        <v>15.295955702475524</v>
      </c>
      <c r="D318" s="16">
        <v>14.75</v>
      </c>
      <c r="E318" s="16">
        <v>10.05</v>
      </c>
      <c r="F318" s="22">
        <f>-((D318-C318)/D318)</f>
        <v>0.03701394593054401</v>
      </c>
      <c r="G318" s="21">
        <f>C318-D318</f>
        <v>0.5459557024755242</v>
      </c>
      <c r="H318" s="16">
        <v>960</v>
      </c>
      <c r="I318" s="16" t="s">
        <v>77</v>
      </c>
    </row>
    <row r="319" spans="1:9" ht="12.75">
      <c r="A319" s="20"/>
      <c r="B319" s="20" t="s">
        <v>51</v>
      </c>
      <c r="C319" s="21">
        <f>(4/3)^1.46*E319</f>
        <v>11.049615761191273</v>
      </c>
      <c r="D319" s="16">
        <v>11.18</v>
      </c>
      <c r="E319" s="16">
        <v>7.26</v>
      </c>
      <c r="F319" s="22">
        <f>-((D319-C319)/D319)</f>
        <v>-0.011662275385395961</v>
      </c>
      <c r="G319" s="21">
        <f>C319-D319</f>
        <v>-0.13038423880872685</v>
      </c>
      <c r="H319" s="16">
        <v>960</v>
      </c>
      <c r="I319" s="16" t="s">
        <v>77</v>
      </c>
    </row>
    <row r="320" spans="1:9" ht="12.75">
      <c r="A320" s="20"/>
      <c r="B320" s="20" t="s">
        <v>67</v>
      </c>
      <c r="C320" s="21">
        <f>(4/3)^1.46*E320</f>
        <v>10.227743514491095</v>
      </c>
      <c r="D320" s="16">
        <v>10.27</v>
      </c>
      <c r="E320" s="16">
        <v>6.72</v>
      </c>
      <c r="F320" s="22">
        <f>-((D320-C320)/D320)</f>
        <v>-0.0041145555510130735</v>
      </c>
      <c r="G320" s="21">
        <f>C320-D320</f>
        <v>-0.04225648550890426</v>
      </c>
      <c r="H320" s="16">
        <v>960</v>
      </c>
      <c r="I320" s="16" t="s">
        <v>77</v>
      </c>
    </row>
    <row r="321" spans="1:9" ht="12.75">
      <c r="A321" s="20"/>
      <c r="B321" s="20" t="s">
        <v>42</v>
      </c>
      <c r="C321" s="21">
        <f>(4/3)^1.46*E321</f>
        <v>9.66460882693727</v>
      </c>
      <c r="D321" s="16">
        <v>9.85</v>
      </c>
      <c r="E321" s="16">
        <v>6.35</v>
      </c>
      <c r="F321" s="22">
        <f>-((D321-C321)/D321)</f>
        <v>-0.018821438889617216</v>
      </c>
      <c r="G321" s="21">
        <f>C321-D321</f>
        <v>-0.18539117306272956</v>
      </c>
      <c r="H321" s="16">
        <v>960</v>
      </c>
      <c r="I321" s="16" t="s">
        <v>77</v>
      </c>
    </row>
    <row r="322" spans="1:9" ht="12.75">
      <c r="A322" s="20"/>
      <c r="B322" s="20"/>
      <c r="C322" s="21"/>
      <c r="D322" s="16"/>
      <c r="E322" s="16" t="s">
        <v>14</v>
      </c>
      <c r="F322" s="22">
        <f>AVERAGE(F318:F321)</f>
        <v>0.0006039190261294403</v>
      </c>
      <c r="G322" s="21">
        <f>AVERAGE(G318:G321)</f>
        <v>0.04698095127379087</v>
      </c>
      <c r="H322" s="16"/>
      <c r="I322" s="16"/>
    </row>
    <row r="323" spans="1:9" ht="12.75">
      <c r="A323" s="5"/>
      <c r="B323" s="1"/>
      <c r="C323" s="3"/>
      <c r="D323" s="2"/>
      <c r="E323" s="2"/>
      <c r="F323" s="4"/>
      <c r="G323" s="3"/>
      <c r="H323" s="2"/>
      <c r="I323" s="2"/>
    </row>
    <row r="324" spans="1:9" ht="12.75">
      <c r="A324" s="23" t="s">
        <v>0</v>
      </c>
      <c r="B324" s="23" t="s">
        <v>1</v>
      </c>
      <c r="C324" s="18" t="s">
        <v>74</v>
      </c>
      <c r="D324" s="18" t="s">
        <v>73</v>
      </c>
      <c r="E324" s="18" t="s">
        <v>3</v>
      </c>
      <c r="F324" s="18" t="s">
        <v>5</v>
      </c>
      <c r="G324" s="18" t="s">
        <v>6</v>
      </c>
      <c r="H324" s="18" t="s">
        <v>7</v>
      </c>
      <c r="I324" s="18" t="s">
        <v>8</v>
      </c>
    </row>
    <row r="325" spans="1:9" ht="12.75">
      <c r="A325" s="23" t="s">
        <v>85</v>
      </c>
      <c r="B325" s="23" t="s">
        <v>52</v>
      </c>
      <c r="C325" s="24">
        <f>(4/3)^2*E325</f>
        <v>17.866666666666667</v>
      </c>
      <c r="D325" s="18">
        <v>14.75</v>
      </c>
      <c r="E325" s="18">
        <v>10.05</v>
      </c>
      <c r="F325" s="25">
        <f>-((D325-C325)/D325)</f>
        <v>0.21129943502824863</v>
      </c>
      <c r="G325" s="24">
        <f>C325-D325</f>
        <v>3.116666666666667</v>
      </c>
      <c r="H325" s="18">
        <v>960</v>
      </c>
      <c r="I325" s="18" t="s">
        <v>77</v>
      </c>
    </row>
    <row r="326" spans="1:9" ht="12.75">
      <c r="A326" s="23"/>
      <c r="B326" s="23" t="s">
        <v>51</v>
      </c>
      <c r="C326" s="24">
        <f>(4/3)^2*E326</f>
        <v>12.906666666666666</v>
      </c>
      <c r="D326" s="18">
        <v>11.18</v>
      </c>
      <c r="E326" s="18">
        <v>7.26</v>
      </c>
      <c r="F326" s="25">
        <f>-((D326-C326)/D326)</f>
        <v>0.15444245676803817</v>
      </c>
      <c r="G326" s="24">
        <f>C326-D326</f>
        <v>1.7266666666666666</v>
      </c>
      <c r="H326" s="18">
        <v>960</v>
      </c>
      <c r="I326" s="18" t="s">
        <v>77</v>
      </c>
    </row>
    <row r="327" spans="1:9" ht="12.75">
      <c r="A327" s="23"/>
      <c r="B327" s="23" t="s">
        <v>67</v>
      </c>
      <c r="C327" s="24">
        <f>(4/3)^2*E327</f>
        <v>11.946666666666665</v>
      </c>
      <c r="D327" s="18">
        <v>10.27</v>
      </c>
      <c r="E327" s="18">
        <v>6.72</v>
      </c>
      <c r="F327" s="25">
        <f>-((D327-C327)/D327)</f>
        <v>0.16325868224602394</v>
      </c>
      <c r="G327" s="24">
        <f>C327-D327</f>
        <v>1.6766666666666659</v>
      </c>
      <c r="H327" s="18">
        <v>960</v>
      </c>
      <c r="I327" s="18" t="s">
        <v>77</v>
      </c>
    </row>
    <row r="328" spans="1:9" ht="12.75">
      <c r="A328" s="23"/>
      <c r="B328" s="23" t="s">
        <v>42</v>
      </c>
      <c r="C328" s="24">
        <f>(4/3)^2*E328</f>
        <v>11.288888888888888</v>
      </c>
      <c r="D328" s="18">
        <v>9.85</v>
      </c>
      <c r="E328" s="18">
        <v>6.35</v>
      </c>
      <c r="F328" s="25">
        <f>-((D328-C328)/D328)</f>
        <v>0.14608009024252672</v>
      </c>
      <c r="G328" s="24">
        <f>C328-D328</f>
        <v>1.4388888888888882</v>
      </c>
      <c r="H328" s="18">
        <v>960</v>
      </c>
      <c r="I328" s="18" t="s">
        <v>77</v>
      </c>
    </row>
    <row r="329" spans="1:9" ht="12.75">
      <c r="A329" s="23"/>
      <c r="B329" s="23"/>
      <c r="C329" s="24"/>
      <c r="D329" s="18"/>
      <c r="E329" s="18" t="s">
        <v>14</v>
      </c>
      <c r="F329" s="25">
        <f>AVERAGE(F325:F328)</f>
        <v>0.16877016607120937</v>
      </c>
      <c r="G329" s="24">
        <f>AVERAGE(G325:G328)</f>
        <v>1.989722222222222</v>
      </c>
      <c r="H329" s="18"/>
      <c r="I329" s="18"/>
    </row>
    <row r="330" spans="1:9" ht="12.75">
      <c r="A330" s="23"/>
      <c r="B330" s="23"/>
      <c r="C330" s="24"/>
      <c r="D330" s="18"/>
      <c r="E330" s="18"/>
      <c r="F330" s="25"/>
      <c r="G330" s="24"/>
      <c r="H330" s="18"/>
      <c r="I330" s="18"/>
    </row>
    <row r="331" spans="1:9" ht="12.75">
      <c r="A331" s="1" t="s">
        <v>0</v>
      </c>
      <c r="B331" s="1" t="s">
        <v>1</v>
      </c>
      <c r="C331" s="1" t="s">
        <v>89</v>
      </c>
      <c r="D331" s="2" t="s">
        <v>3</v>
      </c>
      <c r="E331" s="2" t="s">
        <v>4</v>
      </c>
      <c r="F331" s="1" t="s">
        <v>5</v>
      </c>
      <c r="G331" s="2" t="s">
        <v>6</v>
      </c>
      <c r="H331" s="2" t="s">
        <v>7</v>
      </c>
      <c r="I331" s="2" t="s">
        <v>8</v>
      </c>
    </row>
    <row r="332" spans="1:9" ht="12.75">
      <c r="A332" s="1" t="s">
        <v>90</v>
      </c>
      <c r="B332" s="1" t="s">
        <v>91</v>
      </c>
      <c r="C332" s="3">
        <f>(3/2)^1.32*E332</f>
        <v>14.977525074017379</v>
      </c>
      <c r="D332" s="2">
        <v>13.86</v>
      </c>
      <c r="E332" s="2">
        <v>8.77</v>
      </c>
      <c r="F332" s="4">
        <f>-((D332-C332)/D332)</f>
        <v>0.08062951471986865</v>
      </c>
      <c r="G332" s="3">
        <f>C332-D332</f>
        <v>1.1175250740173794</v>
      </c>
      <c r="H332" s="2">
        <v>885</v>
      </c>
      <c r="I332" s="2" t="s">
        <v>77</v>
      </c>
    </row>
    <row r="333" spans="1:9" ht="12.75">
      <c r="A333" s="1"/>
      <c r="B333" s="1" t="s">
        <v>92</v>
      </c>
      <c r="C333" s="3">
        <f>(3/2)^1.32*E333</f>
        <v>13.252633360818114</v>
      </c>
      <c r="D333" s="2">
        <v>12.87</v>
      </c>
      <c r="E333" s="2">
        <v>7.76</v>
      </c>
      <c r="F333" s="4">
        <f>-((D333-C333)/D333)</f>
        <v>0.029730641866209415</v>
      </c>
      <c r="G333" s="3">
        <f>C333-D333</f>
        <v>0.38263336081811516</v>
      </c>
      <c r="H333" s="2">
        <v>885</v>
      </c>
      <c r="I333" s="2" t="s">
        <v>77</v>
      </c>
    </row>
    <row r="334" spans="1:9" ht="12.75">
      <c r="A334" s="5"/>
      <c r="B334" s="1" t="s">
        <v>93</v>
      </c>
      <c r="C334" s="3">
        <f>(3/2)^1.32*E334</f>
        <v>10.076100106807587</v>
      </c>
      <c r="D334" s="2">
        <v>10.32</v>
      </c>
      <c r="E334" s="2">
        <v>5.9</v>
      </c>
      <c r="F334" s="4">
        <f>-((D334-C334)/D334)</f>
        <v>-0.023633710580660196</v>
      </c>
      <c r="G334" s="3">
        <f>C334-D334</f>
        <v>-0.24389989319241323</v>
      </c>
      <c r="H334" s="2">
        <v>885</v>
      </c>
      <c r="I334" s="2" t="s">
        <v>77</v>
      </c>
    </row>
    <row r="335" spans="1:9" ht="12.75">
      <c r="A335" s="5"/>
      <c r="B335" s="1" t="s">
        <v>44</v>
      </c>
      <c r="C335" s="3">
        <f>(3/2)^1.32*E335</f>
        <v>11.186178932133846</v>
      </c>
      <c r="D335" s="2">
        <v>11.21</v>
      </c>
      <c r="E335" s="2">
        <v>6.55</v>
      </c>
      <c r="F335" s="4">
        <f>-((D335-C335)/D335)</f>
        <v>-0.0021249837525562205</v>
      </c>
      <c r="G335" s="3">
        <f>C335-D335</f>
        <v>-0.023821067866155232</v>
      </c>
      <c r="H335" s="2">
        <v>885</v>
      </c>
      <c r="I335" s="2" t="s">
        <v>77</v>
      </c>
    </row>
    <row r="336" spans="1:9" ht="12.75">
      <c r="A336" s="5"/>
      <c r="B336" s="1" t="s">
        <v>46</v>
      </c>
      <c r="C336" s="3">
        <f>(3/2)^1.32*E336</f>
        <v>7.9584112708005685</v>
      </c>
      <c r="D336" s="2">
        <v>8.34</v>
      </c>
      <c r="E336" s="2">
        <v>4.66</v>
      </c>
      <c r="F336" s="4">
        <f>-((D336-C336)/D336)</f>
        <v>-0.045754044268516945</v>
      </c>
      <c r="G336" s="3">
        <f>C336-D336</f>
        <v>-0.3815887291994313</v>
      </c>
      <c r="H336" s="2">
        <v>885</v>
      </c>
      <c r="I336" s="2" t="s">
        <v>77</v>
      </c>
    </row>
    <row r="337" spans="1:9" ht="12.75">
      <c r="A337" s="5"/>
      <c r="B337" s="1" t="s">
        <v>94</v>
      </c>
      <c r="C337" s="3">
        <f>(3/2)^1.32*E337</f>
        <v>15.694806776535884</v>
      </c>
      <c r="D337" s="2">
        <v>14.42</v>
      </c>
      <c r="E337" s="2">
        <v>9.19</v>
      </c>
      <c r="F337" s="4">
        <f>-((D337-C337)/D337)</f>
        <v>0.08840546300526243</v>
      </c>
      <c r="G337" s="3">
        <f>C337-D337</f>
        <v>1.2748067765358844</v>
      </c>
      <c r="H337" s="2">
        <v>885</v>
      </c>
      <c r="I337" s="2" t="s">
        <v>77</v>
      </c>
    </row>
    <row r="338" spans="1:9" ht="12.75">
      <c r="A338" s="5"/>
      <c r="B338" s="1" t="s">
        <v>95</v>
      </c>
      <c r="C338" s="3">
        <f>(3/2)^1.32*E338</f>
        <v>13.662508619400118</v>
      </c>
      <c r="D338" s="2">
        <v>13.39</v>
      </c>
      <c r="E338" s="2">
        <v>8</v>
      </c>
      <c r="F338" s="4">
        <f>-((D338-C338)/D338)</f>
        <v>0.020351651934288062</v>
      </c>
      <c r="G338" s="3">
        <f>C338-D338</f>
        <v>0.27250861940011717</v>
      </c>
      <c r="H338" s="2">
        <v>885</v>
      </c>
      <c r="I338" s="2" t="s">
        <v>77</v>
      </c>
    </row>
    <row r="339" spans="1:9" ht="12.75">
      <c r="A339" s="5"/>
      <c r="B339" s="1" t="s">
        <v>96</v>
      </c>
      <c r="C339" s="3">
        <f>(3/2)^1.32*E339</f>
        <v>12.945226916881612</v>
      </c>
      <c r="D339" s="2">
        <v>12.8</v>
      </c>
      <c r="E339" s="2">
        <v>7.58</v>
      </c>
      <c r="F339" s="4">
        <f>-((D339-C339)/D339)</f>
        <v>0.011345852881375906</v>
      </c>
      <c r="G339" s="3">
        <f>C339-D339</f>
        <v>0.1452269168816116</v>
      </c>
      <c r="H339" s="2">
        <v>885</v>
      </c>
      <c r="I339" s="2" t="s">
        <v>77</v>
      </c>
    </row>
    <row r="340" spans="1:9" ht="12.75">
      <c r="A340" s="5"/>
      <c r="B340" s="1" t="s">
        <v>97</v>
      </c>
      <c r="C340" s="3">
        <f>(3/2)^1.32*E340</f>
        <v>13.508805397431866</v>
      </c>
      <c r="D340" s="2">
        <v>12.12</v>
      </c>
      <c r="E340" s="2">
        <v>7.91</v>
      </c>
      <c r="F340" s="4">
        <f>-((D340-C340)/D340)</f>
        <v>0.11458790407853686</v>
      </c>
      <c r="G340" s="3">
        <f>C340-D340</f>
        <v>1.3888053974318666</v>
      </c>
      <c r="H340" s="2">
        <v>885</v>
      </c>
      <c r="I340" s="2" t="s">
        <v>77</v>
      </c>
    </row>
    <row r="341" spans="1:9" ht="12.75">
      <c r="A341" s="5"/>
      <c r="B341" s="1" t="s">
        <v>98</v>
      </c>
      <c r="C341" s="3">
        <f>(3/2)^1.32*E341</f>
        <v>11.783913684232601</v>
      </c>
      <c r="D341" s="2">
        <v>11.88</v>
      </c>
      <c r="E341" s="2">
        <v>6.9</v>
      </c>
      <c r="F341" s="4">
        <f>-((D341-C341)/D341)</f>
        <v>-0.008088073717794566</v>
      </c>
      <c r="G341" s="3">
        <f>C341-D341</f>
        <v>-0.09608631576739946</v>
      </c>
      <c r="H341" s="2">
        <v>885</v>
      </c>
      <c r="I341" s="2" t="s">
        <v>77</v>
      </c>
    </row>
    <row r="342" spans="1:9" ht="12.75">
      <c r="A342" s="23"/>
      <c r="B342" s="1" t="s">
        <v>99</v>
      </c>
      <c r="C342" s="3">
        <f>(3/2)^1.32*E342</f>
        <v>13.611274212077367</v>
      </c>
      <c r="D342" s="2">
        <v>13.54</v>
      </c>
      <c r="E342" s="2">
        <v>7.97</v>
      </c>
      <c r="F342" s="4">
        <f>-((D342-C342)/D342)</f>
        <v>0.005263974304089213</v>
      </c>
      <c r="G342" s="3">
        <f>C342-D342</f>
        <v>0.07127421207736795</v>
      </c>
      <c r="H342" s="2">
        <v>885</v>
      </c>
      <c r="I342" s="2" t="s">
        <v>77</v>
      </c>
    </row>
    <row r="343" spans="1:9" ht="12.75">
      <c r="A343" s="23"/>
      <c r="B343" s="1" t="s">
        <v>100</v>
      </c>
      <c r="C343" s="3">
        <f>(3/2)^1.32*E343</f>
        <v>11.561897919167349</v>
      </c>
      <c r="D343" s="2">
        <v>11.95</v>
      </c>
      <c r="E343" s="2">
        <v>6.77</v>
      </c>
      <c r="F343" s="4">
        <f>-((D343-C343)/D343)</f>
        <v>-0.03247716157595404</v>
      </c>
      <c r="G343" s="3">
        <f>C343-D343</f>
        <v>-0.38810208083265074</v>
      </c>
      <c r="H343" s="2">
        <v>885</v>
      </c>
      <c r="I343" s="2" t="s">
        <v>77</v>
      </c>
    </row>
    <row r="344" spans="1:9" ht="12.75">
      <c r="A344" s="23"/>
      <c r="B344" s="1" t="s">
        <v>101</v>
      </c>
      <c r="C344" s="3">
        <f>(3/2)^1.32*E344</f>
        <v>15.694806776535884</v>
      </c>
      <c r="D344" s="2">
        <v>14.51</v>
      </c>
      <c r="E344" s="2">
        <v>9.19</v>
      </c>
      <c r="F344" s="4">
        <f>-((D344-C344)/D344)</f>
        <v>0.08165449872749032</v>
      </c>
      <c r="G344" s="3">
        <f>C344-D344</f>
        <v>1.1848067765358845</v>
      </c>
      <c r="H344" s="2">
        <v>885</v>
      </c>
      <c r="I344" s="2" t="s">
        <v>77</v>
      </c>
    </row>
    <row r="345" spans="1:9" ht="12.75">
      <c r="A345" s="23"/>
      <c r="B345" s="1" t="s">
        <v>102</v>
      </c>
      <c r="C345" s="3">
        <f>(3/2)^1.32*E345</f>
        <v>14.516415408112625</v>
      </c>
      <c r="D345" s="2">
        <v>14.12</v>
      </c>
      <c r="E345" s="2">
        <v>8.5</v>
      </c>
      <c r="F345" s="4">
        <f>-((D345-C345)/D345)</f>
        <v>0.02807474561704148</v>
      </c>
      <c r="G345" s="3">
        <f>C345-D345</f>
        <v>0.39641540811262566</v>
      </c>
      <c r="H345" s="2">
        <v>885</v>
      </c>
      <c r="I345" s="2" t="s">
        <v>77</v>
      </c>
    </row>
    <row r="346" spans="1:9" ht="12.75">
      <c r="A346" s="23"/>
      <c r="B346" s="1" t="s">
        <v>103</v>
      </c>
      <c r="C346" s="3">
        <f>(3/2)^1.32*E346</f>
        <v>11.544819783393098</v>
      </c>
      <c r="D346" s="2">
        <v>11.62</v>
      </c>
      <c r="E346" s="2">
        <v>6.76</v>
      </c>
      <c r="F346" s="4">
        <f>-((D346-C346)/D346)</f>
        <v>-0.006469898158941557</v>
      </c>
      <c r="G346" s="3">
        <f>C346-D346</f>
        <v>-0.07518021660690088</v>
      </c>
      <c r="H346" s="2">
        <v>885</v>
      </c>
      <c r="I346" s="2" t="s">
        <v>77</v>
      </c>
    </row>
    <row r="347" spans="1:9" ht="12.75">
      <c r="A347" s="23"/>
      <c r="B347" s="1" t="s">
        <v>104</v>
      </c>
      <c r="C347" s="3">
        <f>(3/2)^1.32*E347</f>
        <v>10.281037736098588</v>
      </c>
      <c r="D347" s="2">
        <v>10.67</v>
      </c>
      <c r="E347" s="2">
        <v>6.02</v>
      </c>
      <c r="F347" s="4">
        <f>-((D347-C347)/D347)</f>
        <v>-0.036453820421875546</v>
      </c>
      <c r="G347" s="3">
        <f>C347-D347</f>
        <v>-0.3889622639014121</v>
      </c>
      <c r="H347" s="2">
        <v>885</v>
      </c>
      <c r="I347" s="2" t="s">
        <v>77</v>
      </c>
    </row>
    <row r="348" spans="1:9" ht="12.75">
      <c r="A348" s="23"/>
      <c r="B348" s="1" t="s">
        <v>105</v>
      </c>
      <c r="C348" s="3">
        <f>(3/2)^1.32*E348</f>
        <v>9.102646367675328</v>
      </c>
      <c r="D348" s="2">
        <v>9.77</v>
      </c>
      <c r="E348" s="2">
        <v>5.33</v>
      </c>
      <c r="F348" s="4">
        <f>-((D348-C348)/D348)</f>
        <v>-0.06830641067806256</v>
      </c>
      <c r="G348" s="3">
        <f>C348-D348</f>
        <v>-0.6673536323246712</v>
      </c>
      <c r="H348" s="2">
        <v>885</v>
      </c>
      <c r="I348" s="2" t="s">
        <v>77</v>
      </c>
    </row>
    <row r="349" spans="1:9" ht="12.75">
      <c r="A349" s="23"/>
      <c r="B349" s="1" t="s">
        <v>106</v>
      </c>
      <c r="C349" s="3">
        <f>(3/2)^1.32*E349</f>
        <v>11.49358537607035</v>
      </c>
      <c r="D349" s="2">
        <v>11.86</v>
      </c>
      <c r="E349" s="2">
        <v>6.73</v>
      </c>
      <c r="F349" s="4">
        <f>-((D349-C349)/D349)</f>
        <v>-0.03089499358597386</v>
      </c>
      <c r="G349" s="3">
        <f>C349-D349</f>
        <v>-0.36641462392964996</v>
      </c>
      <c r="H349" s="2">
        <v>885</v>
      </c>
      <c r="I349" s="2" t="s">
        <v>77</v>
      </c>
    </row>
    <row r="350" spans="1:9" ht="12.75">
      <c r="A350" s="5"/>
      <c r="B350" s="1" t="s">
        <v>87</v>
      </c>
      <c r="C350" s="3">
        <f>(3/2)^1.32*E350</f>
        <v>10.43474095806684</v>
      </c>
      <c r="D350" s="2">
        <v>11.14</v>
      </c>
      <c r="E350" s="2">
        <v>6.11</v>
      </c>
      <c r="F350" s="4">
        <f>-((D350-C350)/D350)</f>
        <v>-0.06330871112505931</v>
      </c>
      <c r="G350" s="3">
        <f>C350-D350</f>
        <v>-0.7052590419331608</v>
      </c>
      <c r="H350" s="2">
        <v>885</v>
      </c>
      <c r="I350" s="2" t="s">
        <v>77</v>
      </c>
    </row>
    <row r="351" spans="1:9" ht="12.75">
      <c r="A351" s="5"/>
      <c r="B351" s="1" t="s">
        <v>107</v>
      </c>
      <c r="C351" s="3">
        <f>(3/2)^1.32*E351</f>
        <v>13.269711496592363</v>
      </c>
      <c r="D351" s="2">
        <v>12.95</v>
      </c>
      <c r="E351" s="2">
        <v>7.77</v>
      </c>
      <c r="F351" s="4">
        <f>-((D351-C351)/D351)</f>
        <v>0.024688146455008768</v>
      </c>
      <c r="G351" s="3">
        <f>C351-D351</f>
        <v>0.31971149659236353</v>
      </c>
      <c r="H351" s="2">
        <v>885</v>
      </c>
      <c r="I351" s="2" t="s">
        <v>77</v>
      </c>
    </row>
    <row r="352" spans="1:9" ht="12.75">
      <c r="A352" s="5"/>
      <c r="B352" s="1" t="s">
        <v>108</v>
      </c>
      <c r="C352" s="3">
        <f>(3/2)^1.32*E352</f>
        <v>13.116008274624113</v>
      </c>
      <c r="D352" s="2">
        <v>13.12</v>
      </c>
      <c r="E352" s="2">
        <v>7.68</v>
      </c>
      <c r="F352" s="4">
        <f>-((D352-C352)/D352)</f>
        <v>-0.0003042473609669623</v>
      </c>
      <c r="G352" s="3">
        <f>C352-D352</f>
        <v>-0.003991725375886546</v>
      </c>
      <c r="H352" s="2">
        <v>885</v>
      </c>
      <c r="I352" s="2" t="s">
        <v>77</v>
      </c>
    </row>
    <row r="353" spans="1:9" ht="12.75">
      <c r="A353" s="5"/>
      <c r="B353" s="1" t="s">
        <v>83</v>
      </c>
      <c r="C353" s="3">
        <f>(3/2)^1.32*E353</f>
        <v>11.169100796359597</v>
      </c>
      <c r="D353" s="2">
        <v>11.2</v>
      </c>
      <c r="E353" s="2">
        <v>6.54</v>
      </c>
      <c r="F353" s="4">
        <f>-((D353-C353)/D353)</f>
        <v>-0.0027588574678930455</v>
      </c>
      <c r="G353" s="3">
        <f>C353-D353</f>
        <v>-0.030899203640402106</v>
      </c>
      <c r="H353" s="2">
        <v>885</v>
      </c>
      <c r="I353" s="2" t="s">
        <v>77</v>
      </c>
    </row>
    <row r="354" spans="1:9" ht="12.75">
      <c r="A354" s="5"/>
      <c r="B354" s="1" t="s">
        <v>60</v>
      </c>
      <c r="C354" s="3">
        <f>(3/2)^1.32*E354</f>
        <v>11.356960289876348</v>
      </c>
      <c r="D354" s="2">
        <v>11.85</v>
      </c>
      <c r="E354" s="2">
        <v>6.65</v>
      </c>
      <c r="F354" s="4">
        <f>-((D354-C354)/D354)</f>
        <v>-0.04160672659271324</v>
      </c>
      <c r="G354" s="3">
        <f>C354-D354</f>
        <v>-0.4930397101236519</v>
      </c>
      <c r="H354" s="2">
        <v>885</v>
      </c>
      <c r="I354" s="2" t="s">
        <v>77</v>
      </c>
    </row>
    <row r="355" spans="1:9" ht="12.75">
      <c r="A355" s="5"/>
      <c r="B355" s="1" t="s">
        <v>84</v>
      </c>
      <c r="C355" s="3">
        <f>(3/2)^1.32*E355</f>
        <v>8.18042703586582</v>
      </c>
      <c r="D355" s="2">
        <v>8.77</v>
      </c>
      <c r="E355" s="2">
        <v>4.79</v>
      </c>
      <c r="F355" s="4">
        <f>-((D355-C355)/D355)</f>
        <v>-0.06722610765498052</v>
      </c>
      <c r="G355" s="3">
        <f>C355-D355</f>
        <v>-0.5895729641341791</v>
      </c>
      <c r="H355" s="2">
        <v>885</v>
      </c>
      <c r="I355" s="2" t="s">
        <v>77</v>
      </c>
    </row>
    <row r="356" spans="1:9" ht="12.75">
      <c r="A356" s="5"/>
      <c r="B356" s="1"/>
      <c r="C356" s="3"/>
      <c r="D356" s="2"/>
      <c r="E356" s="2" t="s">
        <v>14</v>
      </c>
      <c r="F356" s="4">
        <f>AVERAGE(F332:F355)</f>
        <v>0.0023051936103009383</v>
      </c>
      <c r="G356" s="3">
        <f>AVERAGE(G332:G355)</f>
        <v>0.08748094039896881</v>
      </c>
      <c r="H356" s="2"/>
      <c r="I356" s="2"/>
    </row>
    <row r="357" spans="1:9" ht="12.75">
      <c r="A357" s="5"/>
      <c r="B357" s="1"/>
      <c r="C357" s="3"/>
      <c r="D357" s="2"/>
      <c r="E357" s="2"/>
      <c r="F357" s="4"/>
      <c r="G357" s="3"/>
      <c r="H357" s="2"/>
      <c r="I357" s="2"/>
    </row>
    <row r="358" spans="1:9" ht="12.75">
      <c r="A358" s="5" t="s">
        <v>0</v>
      </c>
      <c r="B358" s="5" t="s">
        <v>1</v>
      </c>
      <c r="C358" s="5" t="s">
        <v>15</v>
      </c>
      <c r="D358" s="6" t="s">
        <v>3</v>
      </c>
      <c r="E358" s="6" t="s">
        <v>4</v>
      </c>
      <c r="F358" s="5" t="s">
        <v>5</v>
      </c>
      <c r="G358" s="6" t="s">
        <v>6</v>
      </c>
      <c r="H358" s="6" t="s">
        <v>7</v>
      </c>
      <c r="I358" s="6" t="s">
        <v>8</v>
      </c>
    </row>
    <row r="359" spans="1:9" ht="12.75">
      <c r="A359" s="5" t="s">
        <v>90</v>
      </c>
      <c r="B359" s="5" t="s">
        <v>91</v>
      </c>
      <c r="C359" s="7">
        <f>(3/2)^2*E359</f>
        <v>19.732499999999998</v>
      </c>
      <c r="D359" s="6">
        <v>13.86</v>
      </c>
      <c r="E359" s="6">
        <v>8.77</v>
      </c>
      <c r="F359" s="8">
        <f>-((D359-C359)/D359)</f>
        <v>0.42370129870129863</v>
      </c>
      <c r="G359" s="7">
        <f>C359-D359</f>
        <v>5.872499999999999</v>
      </c>
      <c r="H359" s="6">
        <v>885</v>
      </c>
      <c r="I359" s="6" t="s">
        <v>77</v>
      </c>
    </row>
    <row r="360" spans="1:9" ht="12.75">
      <c r="A360" s="5"/>
      <c r="B360" s="5" t="s">
        <v>92</v>
      </c>
      <c r="C360" s="7">
        <f>(3/2)^2*E360</f>
        <v>17.46</v>
      </c>
      <c r="D360" s="6">
        <v>12.87</v>
      </c>
      <c r="E360" s="6">
        <v>7.76</v>
      </c>
      <c r="F360" s="8">
        <f>-((D360-C360)/D360)</f>
        <v>0.3566433566433568</v>
      </c>
      <c r="G360" s="7">
        <f>C360-D360</f>
        <v>4.590000000000002</v>
      </c>
      <c r="H360" s="6">
        <v>885</v>
      </c>
      <c r="I360" s="6" t="s">
        <v>77</v>
      </c>
    </row>
    <row r="361" spans="1:9" ht="12.75">
      <c r="A361" s="5"/>
      <c r="B361" s="5" t="s">
        <v>93</v>
      </c>
      <c r="C361" s="7">
        <f>(3/2)^2*E361</f>
        <v>13.275</v>
      </c>
      <c r="D361" s="6">
        <v>10.32</v>
      </c>
      <c r="E361" s="6">
        <v>5.9</v>
      </c>
      <c r="F361" s="8">
        <f>-((D361-C361)/D361)</f>
        <v>0.2863372093023256</v>
      </c>
      <c r="G361" s="7">
        <f>C361-D361</f>
        <v>2.955</v>
      </c>
      <c r="H361" s="6">
        <v>885</v>
      </c>
      <c r="I361" s="6" t="s">
        <v>77</v>
      </c>
    </row>
    <row r="362" spans="1:9" ht="12.75">
      <c r="A362" s="5"/>
      <c r="B362" s="5" t="s">
        <v>44</v>
      </c>
      <c r="C362" s="7">
        <f>(3/2)^2*E362</f>
        <v>14.737499999999999</v>
      </c>
      <c r="D362" s="6">
        <v>11.21</v>
      </c>
      <c r="E362" s="6">
        <v>6.55</v>
      </c>
      <c r="F362" s="8">
        <f>-((D362-C362)/D362)</f>
        <v>0.3146743978590542</v>
      </c>
      <c r="G362" s="7">
        <f>C362-D362</f>
        <v>3.527499999999998</v>
      </c>
      <c r="H362" s="6">
        <v>885</v>
      </c>
      <c r="I362" s="6" t="s">
        <v>77</v>
      </c>
    </row>
    <row r="363" spans="1:9" ht="12.75">
      <c r="A363" s="5"/>
      <c r="B363" s="5" t="s">
        <v>46</v>
      </c>
      <c r="C363" s="7">
        <f>(3/2)^2*E363</f>
        <v>10.485</v>
      </c>
      <c r="D363" s="6">
        <v>8.34</v>
      </c>
      <c r="E363" s="6">
        <v>4.66</v>
      </c>
      <c r="F363" s="8">
        <f>-((D363-C363)/D363)</f>
        <v>0.2571942446043165</v>
      </c>
      <c r="G363" s="7">
        <f>C363-D363</f>
        <v>2.1449999999999996</v>
      </c>
      <c r="H363" s="6">
        <v>885</v>
      </c>
      <c r="I363" s="6" t="s">
        <v>77</v>
      </c>
    </row>
    <row r="364" spans="1:9" ht="12.75">
      <c r="A364" s="5"/>
      <c r="B364" s="5" t="s">
        <v>94</v>
      </c>
      <c r="C364" s="7">
        <f>(3/2)^2*E364</f>
        <v>20.6775</v>
      </c>
      <c r="D364" s="6">
        <v>14.42</v>
      </c>
      <c r="E364" s="6">
        <v>9.19</v>
      </c>
      <c r="F364" s="8">
        <f>-((D364-C364)/D364)</f>
        <v>0.4339459084604715</v>
      </c>
      <c r="G364" s="7">
        <f>C364-D364</f>
        <v>6.2574999999999985</v>
      </c>
      <c r="H364" s="6">
        <v>885</v>
      </c>
      <c r="I364" s="6" t="s">
        <v>77</v>
      </c>
    </row>
    <row r="365" spans="1:9" ht="12.75">
      <c r="A365" s="5"/>
      <c r="B365" s="5" t="s">
        <v>95</v>
      </c>
      <c r="C365" s="7">
        <f>(3/2)^2*E365</f>
        <v>18</v>
      </c>
      <c r="D365" s="6">
        <v>13.39</v>
      </c>
      <c r="E365" s="6">
        <v>8</v>
      </c>
      <c r="F365" s="8">
        <f>-((D365-C365)/D365)</f>
        <v>0.344286781179985</v>
      </c>
      <c r="G365" s="7">
        <f>C365-D365</f>
        <v>4.609999999999999</v>
      </c>
      <c r="H365" s="6">
        <v>885</v>
      </c>
      <c r="I365" s="6" t="s">
        <v>77</v>
      </c>
    </row>
    <row r="366" spans="1:9" ht="12.75">
      <c r="A366" s="5"/>
      <c r="B366" s="5" t="s">
        <v>96</v>
      </c>
      <c r="C366" s="7">
        <f>(3/2)^2*E366</f>
        <v>17.055</v>
      </c>
      <c r="D366" s="6">
        <v>12.8</v>
      </c>
      <c r="E366" s="6">
        <v>7.58</v>
      </c>
      <c r="F366" s="8">
        <f>-((D366-C366)/D366)</f>
        <v>0.3324218749999999</v>
      </c>
      <c r="G366" s="7">
        <f>C366-D366</f>
        <v>4.254999999999999</v>
      </c>
      <c r="H366" s="6">
        <v>885</v>
      </c>
      <c r="I366" s="6" t="s">
        <v>77</v>
      </c>
    </row>
    <row r="367" spans="1:9" ht="12.75">
      <c r="A367" s="5"/>
      <c r="B367" s="5" t="s">
        <v>97</v>
      </c>
      <c r="C367" s="7">
        <f>(3/2)^2*E367</f>
        <v>17.7975</v>
      </c>
      <c r="D367" s="6">
        <v>12.12</v>
      </c>
      <c r="E367" s="6">
        <v>7.91</v>
      </c>
      <c r="F367" s="8">
        <f>-((D367-C367)/D367)</f>
        <v>0.46844059405940597</v>
      </c>
      <c r="G367" s="7">
        <f>C367-D367</f>
        <v>5.6775</v>
      </c>
      <c r="H367" s="6">
        <v>885</v>
      </c>
      <c r="I367" s="6" t="s">
        <v>77</v>
      </c>
    </row>
    <row r="368" spans="1:9" ht="12.75">
      <c r="A368" s="5"/>
      <c r="B368" s="5" t="s">
        <v>98</v>
      </c>
      <c r="C368" s="7">
        <f>(3/2)^2*E368</f>
        <v>15.525</v>
      </c>
      <c r="D368" s="6">
        <v>11.88</v>
      </c>
      <c r="E368" s="6">
        <v>6.9</v>
      </c>
      <c r="F368" s="8">
        <f>-((D368-C368)/D368)</f>
        <v>0.30681818181818177</v>
      </c>
      <c r="G368" s="7">
        <f>C368-D368</f>
        <v>3.6449999999999996</v>
      </c>
      <c r="H368" s="6">
        <v>885</v>
      </c>
      <c r="I368" s="6" t="s">
        <v>77</v>
      </c>
    </row>
    <row r="369" spans="1:9" ht="12.75">
      <c r="A369" s="23"/>
      <c r="B369" s="5" t="s">
        <v>99</v>
      </c>
      <c r="C369" s="7">
        <f>(3/2)^2*E369</f>
        <v>17.9325</v>
      </c>
      <c r="D369" s="6">
        <v>13.54</v>
      </c>
      <c r="E369" s="6">
        <v>7.97</v>
      </c>
      <c r="F369" s="8">
        <f>-((D369-C369)/D369)</f>
        <v>0.32440915805022175</v>
      </c>
      <c r="G369" s="7">
        <f>C369-D369</f>
        <v>4.392500000000002</v>
      </c>
      <c r="H369" s="6">
        <v>885</v>
      </c>
      <c r="I369" s="6" t="s">
        <v>77</v>
      </c>
    </row>
    <row r="370" spans="1:9" ht="12.75">
      <c r="A370" s="23"/>
      <c r="B370" s="5" t="s">
        <v>100</v>
      </c>
      <c r="C370" s="7">
        <f>(3/2)^2*E370</f>
        <v>15.232499999999998</v>
      </c>
      <c r="D370" s="6">
        <v>11.95</v>
      </c>
      <c r="E370" s="6">
        <v>6.77</v>
      </c>
      <c r="F370" s="8">
        <f>-((D370-C370)/D370)</f>
        <v>0.2746861924686192</v>
      </c>
      <c r="G370" s="7">
        <f>C370-D370</f>
        <v>3.282499999999999</v>
      </c>
      <c r="H370" s="6">
        <v>885</v>
      </c>
      <c r="I370" s="6" t="s">
        <v>77</v>
      </c>
    </row>
    <row r="371" spans="1:9" ht="12.75">
      <c r="A371" s="23"/>
      <c r="B371" s="5" t="s">
        <v>101</v>
      </c>
      <c r="C371" s="7">
        <f>(3/2)^2*E371</f>
        <v>20.6775</v>
      </c>
      <c r="D371" s="6">
        <v>14.51</v>
      </c>
      <c r="E371" s="6">
        <v>9.19</v>
      </c>
      <c r="F371" s="8">
        <f>-((D371-C371)/D371)</f>
        <v>0.42505168849069597</v>
      </c>
      <c r="G371" s="7">
        <f>C371-D371</f>
        <v>6.167499999999999</v>
      </c>
      <c r="H371" s="6">
        <v>885</v>
      </c>
      <c r="I371" s="6" t="s">
        <v>77</v>
      </c>
    </row>
    <row r="372" spans="1:9" ht="12.75">
      <c r="A372" s="23"/>
      <c r="B372" s="5" t="s">
        <v>102</v>
      </c>
      <c r="C372" s="7">
        <f>(3/2)^2*E372</f>
        <v>19.125</v>
      </c>
      <c r="D372" s="6">
        <v>14.12</v>
      </c>
      <c r="E372" s="6">
        <v>8.5</v>
      </c>
      <c r="F372" s="8">
        <f>-((D372-C372)/D372)</f>
        <v>0.35446175637393773</v>
      </c>
      <c r="G372" s="7">
        <f>C372-D372</f>
        <v>5.005000000000001</v>
      </c>
      <c r="H372" s="6">
        <v>885</v>
      </c>
      <c r="I372" s="6" t="s">
        <v>77</v>
      </c>
    </row>
    <row r="373" spans="1:9" ht="12.75">
      <c r="A373" s="23"/>
      <c r="B373" s="5" t="s">
        <v>103</v>
      </c>
      <c r="C373" s="7">
        <f>(3/2)^2*E373</f>
        <v>15.209999999999999</v>
      </c>
      <c r="D373" s="6">
        <v>11.62</v>
      </c>
      <c r="E373" s="6">
        <v>6.76</v>
      </c>
      <c r="F373" s="8">
        <f>-((D373-C373)/D373)</f>
        <v>0.3089500860585198</v>
      </c>
      <c r="G373" s="7">
        <f>C373-D373</f>
        <v>3.59</v>
      </c>
      <c r="H373" s="6">
        <v>885</v>
      </c>
      <c r="I373" s="6" t="s">
        <v>77</v>
      </c>
    </row>
    <row r="374" spans="1:9" ht="12.75">
      <c r="A374" s="23"/>
      <c r="B374" s="5" t="s">
        <v>104</v>
      </c>
      <c r="C374" s="7">
        <f>(3/2)^2*E374</f>
        <v>13.544999999999998</v>
      </c>
      <c r="D374" s="6">
        <v>10.67</v>
      </c>
      <c r="E374" s="6">
        <v>6.02</v>
      </c>
      <c r="F374" s="8">
        <f>-((D374-C374)/D374)</f>
        <v>0.2694470477975631</v>
      </c>
      <c r="G374" s="7">
        <f>C374-D374</f>
        <v>2.8749999999999982</v>
      </c>
      <c r="H374" s="6">
        <v>885</v>
      </c>
      <c r="I374" s="6" t="s">
        <v>77</v>
      </c>
    </row>
    <row r="375" spans="1:9" ht="12.75">
      <c r="A375" s="23"/>
      <c r="B375" s="5" t="s">
        <v>105</v>
      </c>
      <c r="C375" s="7">
        <f>(3/2)^2*E375</f>
        <v>11.9925</v>
      </c>
      <c r="D375" s="6">
        <v>9.77</v>
      </c>
      <c r="E375" s="6">
        <v>5.33</v>
      </c>
      <c r="F375" s="8">
        <f>-((D375-C375)/D375)</f>
        <v>0.22748208802456502</v>
      </c>
      <c r="G375" s="7">
        <f>C375-D375</f>
        <v>2.2225</v>
      </c>
      <c r="H375" s="6">
        <v>885</v>
      </c>
      <c r="I375" s="6" t="s">
        <v>77</v>
      </c>
    </row>
    <row r="376" spans="1:9" ht="12.75">
      <c r="A376" s="23"/>
      <c r="B376" s="5" t="s">
        <v>106</v>
      </c>
      <c r="C376" s="7">
        <f>(3/2)^2*E376</f>
        <v>15.142500000000002</v>
      </c>
      <c r="D376" s="6">
        <v>11.86</v>
      </c>
      <c r="E376" s="6">
        <v>6.73</v>
      </c>
      <c r="F376" s="8">
        <f>-((D376-C376)/D376)</f>
        <v>0.27677065767285014</v>
      </c>
      <c r="G376" s="7">
        <f>C376-D376</f>
        <v>3.2825000000000024</v>
      </c>
      <c r="H376" s="6">
        <v>885</v>
      </c>
      <c r="I376" s="6" t="s">
        <v>77</v>
      </c>
    </row>
    <row r="377" spans="1:9" ht="12.75">
      <c r="A377" s="5"/>
      <c r="B377" s="5" t="s">
        <v>87</v>
      </c>
      <c r="C377" s="7">
        <f>(3/2)^2*E377</f>
        <v>13.7475</v>
      </c>
      <c r="D377" s="6">
        <v>11.14</v>
      </c>
      <c r="E377" s="6">
        <v>6.11</v>
      </c>
      <c r="F377" s="8">
        <f>-((D377-C377)/D377)</f>
        <v>0.23406642728904845</v>
      </c>
      <c r="G377" s="7">
        <f>C377-D377</f>
        <v>2.6075</v>
      </c>
      <c r="H377" s="6">
        <v>885</v>
      </c>
      <c r="I377" s="6" t="s">
        <v>77</v>
      </c>
    </row>
    <row r="378" spans="1:9" ht="12.75">
      <c r="A378" s="5"/>
      <c r="B378" s="5" t="s">
        <v>107</v>
      </c>
      <c r="C378" s="7">
        <f>(3/2)^2*E378</f>
        <v>17.482499999999998</v>
      </c>
      <c r="D378" s="6">
        <v>12.95</v>
      </c>
      <c r="E378" s="6">
        <v>7.77</v>
      </c>
      <c r="F378" s="8">
        <f>-((D378-C378)/D378)</f>
        <v>0.3499999999999999</v>
      </c>
      <c r="G378" s="7">
        <f>C378-D378</f>
        <v>4.532499999999999</v>
      </c>
      <c r="H378" s="6">
        <v>885</v>
      </c>
      <c r="I378" s="6" t="s">
        <v>77</v>
      </c>
    </row>
    <row r="379" spans="1:9" ht="12.75">
      <c r="A379" s="5"/>
      <c r="B379" s="5" t="s">
        <v>108</v>
      </c>
      <c r="C379" s="7">
        <f>(3/2)^2*E379</f>
        <v>17.28</v>
      </c>
      <c r="D379" s="6">
        <v>13.12</v>
      </c>
      <c r="E379" s="6">
        <v>7.68</v>
      </c>
      <c r="F379" s="8">
        <f>-((D379-C379)/D379)</f>
        <v>0.3170731707317075</v>
      </c>
      <c r="G379" s="7">
        <f>C379-D379</f>
        <v>4.160000000000002</v>
      </c>
      <c r="H379" s="6">
        <v>885</v>
      </c>
      <c r="I379" s="6" t="s">
        <v>77</v>
      </c>
    </row>
    <row r="380" spans="1:9" ht="12.75">
      <c r="A380" s="5"/>
      <c r="B380" s="5" t="s">
        <v>83</v>
      </c>
      <c r="C380" s="7">
        <f>(3/2)^2*E380</f>
        <v>14.715</v>
      </c>
      <c r="D380" s="6">
        <v>11.2</v>
      </c>
      <c r="E380" s="6">
        <v>6.54</v>
      </c>
      <c r="F380" s="8">
        <f>-((D380-C380)/D380)</f>
        <v>0.31383928571428577</v>
      </c>
      <c r="G380" s="7">
        <f>C380-D380</f>
        <v>3.5150000000000006</v>
      </c>
      <c r="H380" s="6">
        <v>885</v>
      </c>
      <c r="I380" s="6" t="s">
        <v>77</v>
      </c>
    </row>
    <row r="381" spans="1:9" ht="12.75">
      <c r="A381" s="5"/>
      <c r="B381" s="5" t="s">
        <v>60</v>
      </c>
      <c r="C381" s="7">
        <f>(3/2)^2*E381</f>
        <v>14.9625</v>
      </c>
      <c r="D381" s="6">
        <v>11.85</v>
      </c>
      <c r="E381" s="6">
        <v>6.65</v>
      </c>
      <c r="F381" s="8">
        <f>-((D381-C381)/D381)</f>
        <v>0.26265822784810133</v>
      </c>
      <c r="G381" s="7">
        <f>C381-D381</f>
        <v>3.1125000000000007</v>
      </c>
      <c r="H381" s="6">
        <v>885</v>
      </c>
      <c r="I381" s="6" t="s">
        <v>77</v>
      </c>
    </row>
    <row r="382" spans="1:9" ht="12.75">
      <c r="A382" s="5"/>
      <c r="B382" s="5" t="s">
        <v>84</v>
      </c>
      <c r="C382" s="7">
        <f>(3/2)^2*E382</f>
        <v>10.7775</v>
      </c>
      <c r="D382" s="6">
        <v>8.77</v>
      </c>
      <c r="E382" s="6">
        <v>4.79</v>
      </c>
      <c r="F382" s="8">
        <f>-((D382-C382)/D382)</f>
        <v>0.22890535917901944</v>
      </c>
      <c r="G382" s="7">
        <f>C382-D382</f>
        <v>2.0075000000000003</v>
      </c>
      <c r="H382" s="6">
        <v>885</v>
      </c>
      <c r="I382" s="6" t="s">
        <v>77</v>
      </c>
    </row>
    <row r="383" spans="1:9" ht="12.75">
      <c r="A383" s="5"/>
      <c r="B383" s="5"/>
      <c r="C383" s="7"/>
      <c r="D383" s="6"/>
      <c r="E383" s="6" t="s">
        <v>14</v>
      </c>
      <c r="F383" s="8">
        <f>AVERAGE(F359:F382)</f>
        <v>0.32051104138864706</v>
      </c>
      <c r="G383" s="7">
        <f>AVERAGE(G359:G382)</f>
        <v>3.928645833333333</v>
      </c>
      <c r="H383" s="6"/>
      <c r="I383" s="6"/>
    </row>
    <row r="384" spans="1:9" ht="12.75">
      <c r="A384" s="5"/>
      <c r="B384" s="1"/>
      <c r="C384" s="3"/>
      <c r="D384" s="2"/>
      <c r="E384" s="2"/>
      <c r="F384" s="4"/>
      <c r="G384" s="3"/>
      <c r="H384" s="2"/>
      <c r="I384" s="2"/>
    </row>
    <row r="385" spans="1:9" ht="12.75">
      <c r="A385" s="20" t="s">
        <v>0</v>
      </c>
      <c r="B385" s="20" t="s">
        <v>1</v>
      </c>
      <c r="C385" s="16" t="s">
        <v>109</v>
      </c>
      <c r="D385" s="16" t="s">
        <v>73</v>
      </c>
      <c r="E385" s="16" t="s">
        <v>3</v>
      </c>
      <c r="F385" s="16" t="s">
        <v>5</v>
      </c>
      <c r="G385" s="16" t="s">
        <v>6</v>
      </c>
      <c r="H385" s="16" t="s">
        <v>7</v>
      </c>
      <c r="I385" s="16" t="s">
        <v>8</v>
      </c>
    </row>
    <row r="386" spans="1:9" ht="12.75">
      <c r="A386" s="20" t="s">
        <v>90</v>
      </c>
      <c r="B386" s="20" t="s">
        <v>50</v>
      </c>
      <c r="C386" s="21">
        <f>(4/3)^1.37*E386</f>
        <v>14.875343464756472</v>
      </c>
      <c r="D386" s="16">
        <v>14.34</v>
      </c>
      <c r="E386" s="16">
        <v>10.03</v>
      </c>
      <c r="F386" s="22">
        <f>-((D386-C386)/D386)</f>
        <v>0.03733218024801064</v>
      </c>
      <c r="G386" s="21">
        <f>C386-D386</f>
        <v>0.5353434647564725</v>
      </c>
      <c r="H386" s="16">
        <v>885</v>
      </c>
      <c r="I386" s="16" t="s">
        <v>77</v>
      </c>
    </row>
    <row r="387" spans="1:9" ht="12.75">
      <c r="A387" s="20"/>
      <c r="B387" s="20" t="s">
        <v>52</v>
      </c>
      <c r="C387" s="21">
        <f>(4/3)^1.37*E387</f>
        <v>11.820188176880269</v>
      </c>
      <c r="D387" s="16">
        <v>11.57</v>
      </c>
      <c r="E387" s="16">
        <v>7.97</v>
      </c>
      <c r="F387" s="22">
        <f>-((D387-C387)/D387)</f>
        <v>0.021623870084725</v>
      </c>
      <c r="G387" s="21">
        <f>C387-D387</f>
        <v>0.2501881768802683</v>
      </c>
      <c r="H387" s="16">
        <v>885</v>
      </c>
      <c r="I387" s="16" t="s">
        <v>77</v>
      </c>
    </row>
    <row r="388" spans="1:9" ht="12.75">
      <c r="A388" s="20"/>
      <c r="B388" s="20" t="s">
        <v>51</v>
      </c>
      <c r="C388" s="21">
        <f>(4/3)^1.37*E388</f>
        <v>8.512908423499717</v>
      </c>
      <c r="D388" s="16">
        <v>8.8</v>
      </c>
      <c r="E388" s="16">
        <v>5.74</v>
      </c>
      <c r="F388" s="22">
        <f>-((D388-C388)/D388)</f>
        <v>-0.032624042784123196</v>
      </c>
      <c r="G388" s="21">
        <f>C388-D388</f>
        <v>-0.28709157650028416</v>
      </c>
      <c r="H388" s="16">
        <v>885</v>
      </c>
      <c r="I388" s="16" t="s">
        <v>77</v>
      </c>
    </row>
    <row r="389" spans="1:9" ht="12.75">
      <c r="A389" s="20"/>
      <c r="B389" s="20" t="s">
        <v>67</v>
      </c>
      <c r="C389" s="21">
        <f>(4/3)^1.37*E389</f>
        <v>7.9641669397549615</v>
      </c>
      <c r="D389" s="16">
        <v>8.13</v>
      </c>
      <c r="E389" s="16">
        <v>5.37</v>
      </c>
      <c r="F389" s="22">
        <f>-((D389-C389)/D389)</f>
        <v>-0.0203976703868437</v>
      </c>
      <c r="G389" s="21">
        <f>C389-D389</f>
        <v>-0.1658330602450393</v>
      </c>
      <c r="H389" s="16">
        <v>885</v>
      </c>
      <c r="I389" s="16" t="s">
        <v>77</v>
      </c>
    </row>
    <row r="390" spans="1:9" ht="12.75">
      <c r="A390" s="5"/>
      <c r="B390" s="20"/>
      <c r="C390" s="21"/>
      <c r="D390" s="16"/>
      <c r="E390" s="16" t="s">
        <v>14</v>
      </c>
      <c r="F390" s="22">
        <f>AVERAGE(F386:F389)</f>
        <v>0.0014835842904421855</v>
      </c>
      <c r="G390" s="21">
        <f>AVERAGE(G386:G389)</f>
        <v>0.08315175122285434</v>
      </c>
      <c r="H390" s="16"/>
      <c r="I390" s="16"/>
    </row>
    <row r="391" spans="1:9" ht="12.75">
      <c r="A391" s="5"/>
      <c r="B391" s="20"/>
      <c r="C391" s="21"/>
      <c r="D391" s="16"/>
      <c r="E391" s="16"/>
      <c r="F391" s="22"/>
      <c r="G391" s="21"/>
      <c r="H391" s="16"/>
      <c r="I391" s="16"/>
    </row>
    <row r="392" spans="1:9" ht="12.75">
      <c r="A392" s="23" t="s">
        <v>0</v>
      </c>
      <c r="B392" s="23" t="s">
        <v>1</v>
      </c>
      <c r="C392" s="18" t="s">
        <v>74</v>
      </c>
      <c r="D392" s="18" t="s">
        <v>73</v>
      </c>
      <c r="E392" s="18" t="s">
        <v>3</v>
      </c>
      <c r="F392" s="18" t="s">
        <v>5</v>
      </c>
      <c r="G392" s="18" t="s">
        <v>6</v>
      </c>
      <c r="H392" s="18" t="s">
        <v>7</v>
      </c>
      <c r="I392" s="18" t="s">
        <v>8</v>
      </c>
    </row>
    <row r="393" spans="1:9" ht="12.75">
      <c r="A393" s="23" t="s">
        <v>90</v>
      </c>
      <c r="B393" s="23" t="s">
        <v>50</v>
      </c>
      <c r="C393" s="24">
        <f>(4/3)^2*E393</f>
        <v>17.83111111111111</v>
      </c>
      <c r="D393" s="18">
        <v>14.34</v>
      </c>
      <c r="E393" s="18">
        <v>10.03</v>
      </c>
      <c r="F393" s="25">
        <f>-((D393-C393)/D393)</f>
        <v>0.243452657678599</v>
      </c>
      <c r="G393" s="24">
        <f>C393-D393</f>
        <v>3.4911111111111097</v>
      </c>
      <c r="H393" s="18">
        <v>885</v>
      </c>
      <c r="I393" s="18" t="s">
        <v>77</v>
      </c>
    </row>
    <row r="394" spans="1:9" ht="12.75">
      <c r="A394" s="23"/>
      <c r="B394" s="23" t="s">
        <v>52</v>
      </c>
      <c r="C394" s="24">
        <f>(4/3)^2*E394</f>
        <v>14.168888888888887</v>
      </c>
      <c r="D394" s="18">
        <v>11.57</v>
      </c>
      <c r="E394" s="18">
        <v>7.97</v>
      </c>
      <c r="F394" s="25">
        <f>-((D394-C394)/D394)</f>
        <v>0.22462306731969633</v>
      </c>
      <c r="G394" s="24">
        <f>C394-D394</f>
        <v>2.5988888888888866</v>
      </c>
      <c r="H394" s="18">
        <v>885</v>
      </c>
      <c r="I394" s="18" t="s">
        <v>77</v>
      </c>
    </row>
    <row r="395" spans="1:9" ht="12.75">
      <c r="A395" s="23"/>
      <c r="B395" s="23" t="s">
        <v>51</v>
      </c>
      <c r="C395" s="24">
        <f>(4/3)^2*E395</f>
        <v>10.204444444444444</v>
      </c>
      <c r="D395" s="18">
        <v>8.8</v>
      </c>
      <c r="E395" s="18">
        <v>5.74</v>
      </c>
      <c r="F395" s="25">
        <f>-((D395-C395)/D395)</f>
        <v>0.1595959595959595</v>
      </c>
      <c r="G395" s="24">
        <f>C395-D395</f>
        <v>1.4044444444444437</v>
      </c>
      <c r="H395" s="18">
        <v>885</v>
      </c>
      <c r="I395" s="18" t="s">
        <v>77</v>
      </c>
    </row>
    <row r="396" spans="1:9" ht="12.75">
      <c r="A396" s="23"/>
      <c r="B396" s="23" t="s">
        <v>67</v>
      </c>
      <c r="C396" s="24">
        <f>(4/3)^2*E396</f>
        <v>9.546666666666667</v>
      </c>
      <c r="D396" s="18">
        <v>8.13</v>
      </c>
      <c r="E396" s="18">
        <v>5.37</v>
      </c>
      <c r="F396" s="25">
        <f>-((D396-C396)/D396)</f>
        <v>0.1742517425174251</v>
      </c>
      <c r="G396" s="24">
        <f>C396-D396</f>
        <v>1.416666666666666</v>
      </c>
      <c r="H396" s="18">
        <v>885</v>
      </c>
      <c r="I396" s="18" t="s">
        <v>77</v>
      </c>
    </row>
    <row r="397" spans="1:9" ht="12.75">
      <c r="A397" s="5"/>
      <c r="B397" s="23"/>
      <c r="C397" s="24"/>
      <c r="D397" s="18"/>
      <c r="E397" s="18" t="s">
        <v>14</v>
      </c>
      <c r="F397" s="25">
        <f>AVERAGE(F393:F396)</f>
        <v>0.20048085677792</v>
      </c>
      <c r="G397" s="24">
        <f>AVERAGE(G393:G396)</f>
        <v>2.2277777777777765</v>
      </c>
      <c r="H397" s="18"/>
      <c r="I397" s="18"/>
    </row>
    <row r="398" spans="1:9" ht="12.75">
      <c r="A398" s="5"/>
      <c r="B398" s="20"/>
      <c r="C398" s="21"/>
      <c r="D398" s="16"/>
      <c r="E398" s="16"/>
      <c r="F398" s="22"/>
      <c r="G398" s="21"/>
      <c r="H398" s="16"/>
      <c r="I398" s="16"/>
    </row>
    <row r="399" spans="1:9" ht="12.75">
      <c r="A399" s="1" t="s">
        <v>0</v>
      </c>
      <c r="B399" s="1" t="s">
        <v>1</v>
      </c>
      <c r="C399" s="1" t="s">
        <v>110</v>
      </c>
      <c r="D399" s="2" t="s">
        <v>3</v>
      </c>
      <c r="E399" s="2" t="s">
        <v>4</v>
      </c>
      <c r="F399" s="1" t="s">
        <v>5</v>
      </c>
      <c r="G399" s="2" t="s">
        <v>6</v>
      </c>
      <c r="H399" s="2" t="s">
        <v>7</v>
      </c>
      <c r="I399" s="2" t="s">
        <v>8</v>
      </c>
    </row>
    <row r="400" spans="1:9" ht="12.75">
      <c r="A400" s="1" t="s">
        <v>111</v>
      </c>
      <c r="B400" s="1" t="s">
        <v>42</v>
      </c>
      <c r="C400" s="3">
        <f>(3/2)^1.52*E400</f>
        <v>34.28191963708516</v>
      </c>
      <c r="D400" s="2">
        <v>33.31</v>
      </c>
      <c r="E400" s="2">
        <v>18.51</v>
      </c>
      <c r="F400" s="4">
        <f>-((D400-C400)/D400)</f>
        <v>0.02917801372216024</v>
      </c>
      <c r="G400" s="3">
        <f>C400-D400</f>
        <v>0.9719196370851577</v>
      </c>
      <c r="H400" s="2">
        <v>2000</v>
      </c>
      <c r="I400" s="2" t="s">
        <v>112</v>
      </c>
    </row>
    <row r="401" spans="1:9" ht="12.75">
      <c r="A401" s="1"/>
      <c r="B401" s="1" t="s">
        <v>35</v>
      </c>
      <c r="C401" s="3">
        <f>(3/2)^1.52*E401</f>
        <v>27.521843641657775</v>
      </c>
      <c r="D401" s="2">
        <v>28.18</v>
      </c>
      <c r="E401" s="2">
        <v>14.86</v>
      </c>
      <c r="F401" s="4">
        <f>-((D401-C401)/D401)</f>
        <v>-0.02335544209873049</v>
      </c>
      <c r="G401" s="3">
        <f>C401-D401</f>
        <v>-0.6581563583422252</v>
      </c>
      <c r="H401" s="2">
        <v>2000</v>
      </c>
      <c r="I401" s="2" t="s">
        <v>112</v>
      </c>
    </row>
    <row r="402" spans="1:9" ht="12.75">
      <c r="A402" s="1"/>
      <c r="B402" s="1"/>
      <c r="C402" s="3"/>
      <c r="D402" s="2"/>
      <c r="E402" s="2" t="s">
        <v>14</v>
      </c>
      <c r="F402" s="4">
        <f>AVERAGE(F400:F401)</f>
        <v>0.0029112858117148754</v>
      </c>
      <c r="G402" s="3">
        <f>AVERAGE(G400:G401)</f>
        <v>0.15688163937146626</v>
      </c>
      <c r="H402" s="2"/>
      <c r="I402" s="2"/>
    </row>
    <row r="403" spans="1:9" ht="12.75">
      <c r="A403" s="1"/>
      <c r="B403" s="1"/>
      <c r="C403" s="3"/>
      <c r="D403" s="2"/>
      <c r="E403" s="2"/>
      <c r="F403" s="4"/>
      <c r="G403" s="3"/>
      <c r="H403" s="2"/>
      <c r="I403" s="2"/>
    </row>
    <row r="404" spans="1:9" ht="12.75">
      <c r="A404" s="5" t="s">
        <v>0</v>
      </c>
      <c r="B404" s="5" t="s">
        <v>1</v>
      </c>
      <c r="C404" s="5" t="s">
        <v>15</v>
      </c>
      <c r="D404" s="6" t="s">
        <v>3</v>
      </c>
      <c r="E404" s="6" t="s">
        <v>4</v>
      </c>
      <c r="F404" s="5" t="s">
        <v>5</v>
      </c>
      <c r="G404" s="6" t="s">
        <v>6</v>
      </c>
      <c r="H404" s="6" t="s">
        <v>7</v>
      </c>
      <c r="I404" s="6" t="s">
        <v>8</v>
      </c>
    </row>
    <row r="405" spans="1:9" ht="12.75">
      <c r="A405" s="5" t="s">
        <v>111</v>
      </c>
      <c r="B405" s="5" t="s">
        <v>42</v>
      </c>
      <c r="C405" s="7">
        <f>(3/2)^2*E405</f>
        <v>41.6475</v>
      </c>
      <c r="D405" s="6">
        <v>33.31</v>
      </c>
      <c r="E405" s="6">
        <v>18.51</v>
      </c>
      <c r="F405" s="8">
        <f>-((D405-C405)/D405)</f>
        <v>0.2503002101471029</v>
      </c>
      <c r="G405" s="7">
        <f>C405-D405</f>
        <v>8.337499999999999</v>
      </c>
      <c r="H405" s="6">
        <v>2000</v>
      </c>
      <c r="I405" s="6" t="s">
        <v>112</v>
      </c>
    </row>
    <row r="406" spans="1:9" ht="12.75">
      <c r="A406" s="5"/>
      <c r="B406" s="5" t="s">
        <v>35</v>
      </c>
      <c r="C406" s="7">
        <f>(3/2)^2*E406</f>
        <v>33.435</v>
      </c>
      <c r="D406" s="6">
        <v>28.18</v>
      </c>
      <c r="E406" s="6">
        <v>14.86</v>
      </c>
      <c r="F406" s="8">
        <f>-((D406-C406)/D406)</f>
        <v>0.18647977288857354</v>
      </c>
      <c r="G406" s="7">
        <f>C406-D406</f>
        <v>5.255000000000003</v>
      </c>
      <c r="H406" s="6">
        <v>2000</v>
      </c>
      <c r="I406" s="6" t="s">
        <v>112</v>
      </c>
    </row>
    <row r="407" spans="1:9" ht="12.75">
      <c r="A407" s="5"/>
      <c r="B407" s="5"/>
      <c r="C407" s="7"/>
      <c r="D407" s="6"/>
      <c r="E407" s="6" t="s">
        <v>14</v>
      </c>
      <c r="F407" s="8">
        <f>AVERAGE(F405:F406)</f>
        <v>0.21838999151783822</v>
      </c>
      <c r="G407" s="7">
        <f>AVERAGE(G405:G406)</f>
        <v>6.796250000000001</v>
      </c>
      <c r="H407" s="6"/>
      <c r="I407" s="6"/>
    </row>
    <row r="408" spans="3:8" ht="12.75">
      <c r="C408" s="26"/>
      <c r="D408" s="6"/>
      <c r="E408" s="6"/>
      <c r="F408" s="27"/>
      <c r="G408" s="28"/>
      <c r="H408" s="6"/>
    </row>
    <row r="409" spans="1:9" ht="12.75">
      <c r="A409" s="20" t="s">
        <v>0</v>
      </c>
      <c r="B409" s="20" t="s">
        <v>1</v>
      </c>
      <c r="C409" s="16" t="s">
        <v>113</v>
      </c>
      <c r="D409" s="16" t="s">
        <v>73</v>
      </c>
      <c r="E409" s="16" t="s">
        <v>3</v>
      </c>
      <c r="F409" s="16" t="s">
        <v>5</v>
      </c>
      <c r="G409" s="16" t="s">
        <v>6</v>
      </c>
      <c r="H409" s="16" t="s">
        <v>7</v>
      </c>
      <c r="I409" s="16" t="s">
        <v>8</v>
      </c>
    </row>
    <row r="410" spans="1:9" ht="12.75">
      <c r="A410" s="20" t="s">
        <v>111</v>
      </c>
      <c r="B410" s="20" t="s">
        <v>22</v>
      </c>
      <c r="C410" s="21">
        <f>(4/3)^1.56*E410</f>
        <v>36.07433774835132</v>
      </c>
      <c r="D410" s="16">
        <v>34.63</v>
      </c>
      <c r="E410" s="16">
        <v>23.03</v>
      </c>
      <c r="F410" s="22">
        <f>-((D410-C410)/D410)</f>
        <v>0.041707702811184404</v>
      </c>
      <c r="G410" s="21">
        <f>C410-D410</f>
        <v>1.444337748351316</v>
      </c>
      <c r="H410" s="16">
        <v>2000</v>
      </c>
      <c r="I410" s="16" t="s">
        <v>112</v>
      </c>
    </row>
    <row r="411" spans="1:9" ht="12.75">
      <c r="A411" s="20"/>
      <c r="B411" s="20" t="s">
        <v>13</v>
      </c>
      <c r="C411" s="21">
        <f>(4/3)^1.56*E411</f>
        <v>28.94718895308434</v>
      </c>
      <c r="D411" s="16">
        <v>29.14</v>
      </c>
      <c r="E411" s="16">
        <v>18.48</v>
      </c>
      <c r="F411" s="22">
        <f>-((D411-C411)/D411)</f>
        <v>-0.006616714032795519</v>
      </c>
      <c r="G411" s="21">
        <f>C411-D411</f>
        <v>-0.19281104691566142</v>
      </c>
      <c r="H411" s="16">
        <v>2000</v>
      </c>
      <c r="I411" s="16" t="s">
        <v>112</v>
      </c>
    </row>
    <row r="412" spans="1:9" ht="12.75">
      <c r="A412" s="20"/>
      <c r="B412" s="20" t="s">
        <v>36</v>
      </c>
      <c r="C412" s="21">
        <f>(4/3)^1.56*E412</f>
        <v>25.98668099197344</v>
      </c>
      <c r="D412" s="16">
        <v>26.08</v>
      </c>
      <c r="E412" s="16">
        <v>16.59</v>
      </c>
      <c r="F412" s="22">
        <f>-((D412-C412)/D412)</f>
        <v>-0.003578182823104227</v>
      </c>
      <c r="G412" s="21">
        <f>C412-D412</f>
        <v>-0.09331900802655824</v>
      </c>
      <c r="H412" s="16">
        <v>2000</v>
      </c>
      <c r="I412" s="16" t="s">
        <v>112</v>
      </c>
    </row>
    <row r="413" spans="1:9" ht="12.75">
      <c r="A413" s="20"/>
      <c r="B413" s="20" t="s">
        <v>114</v>
      </c>
      <c r="C413" s="21">
        <f>(4/3)^1.56*E413</f>
        <v>25.015509068222777</v>
      </c>
      <c r="D413" s="16">
        <v>25.58</v>
      </c>
      <c r="E413" s="16">
        <v>15.97</v>
      </c>
      <c r="F413" s="22">
        <f>-((D413-C413)/D413)</f>
        <v>-0.022067667387694362</v>
      </c>
      <c r="G413" s="21">
        <f>C413-D413</f>
        <v>-0.5644909317772218</v>
      </c>
      <c r="H413" s="16">
        <v>2000</v>
      </c>
      <c r="I413" s="16" t="s">
        <v>112</v>
      </c>
    </row>
    <row r="414" spans="1:9" ht="12.75">
      <c r="A414" s="20"/>
      <c r="B414" s="20" t="s">
        <v>115</v>
      </c>
      <c r="C414" s="21">
        <f>(4/3)^1.56*E414</f>
        <v>22.195977676688585</v>
      </c>
      <c r="D414" s="16">
        <v>22.42</v>
      </c>
      <c r="E414" s="16">
        <v>14.17</v>
      </c>
      <c r="F414" s="22">
        <f>-((D414-C414)/D414)</f>
        <v>-0.009992075080794667</v>
      </c>
      <c r="G414" s="21">
        <f>C414-D414</f>
        <v>-0.22402232331141647</v>
      </c>
      <c r="H414" s="16">
        <v>2000</v>
      </c>
      <c r="I414" s="16" t="s">
        <v>112</v>
      </c>
    </row>
    <row r="415" spans="1:8" ht="12.75">
      <c r="A415" s="20"/>
      <c r="B415" s="20"/>
      <c r="C415" s="21"/>
      <c r="D415" s="16"/>
      <c r="E415" s="16" t="s">
        <v>14</v>
      </c>
      <c r="F415" s="22">
        <f>AVERAGE(F410:F414)</f>
        <v>-0.00010938730264087453</v>
      </c>
      <c r="G415" s="21">
        <f>AVERAGE(G410:G414)</f>
        <v>0.07393888766409162</v>
      </c>
      <c r="H415" s="16"/>
    </row>
    <row r="416" spans="1:8" ht="12.75">
      <c r="A416" s="20"/>
      <c r="B416" s="20"/>
      <c r="C416" s="21"/>
      <c r="D416" s="16"/>
      <c r="E416" s="16"/>
      <c r="F416" s="22"/>
      <c r="G416" s="21"/>
      <c r="H416" s="16"/>
    </row>
    <row r="417" spans="1:9" ht="12.75">
      <c r="A417" s="23" t="s">
        <v>0</v>
      </c>
      <c r="B417" s="23" t="s">
        <v>1</v>
      </c>
      <c r="C417" s="18" t="s">
        <v>74</v>
      </c>
      <c r="D417" s="18" t="s">
        <v>73</v>
      </c>
      <c r="E417" s="18" t="s">
        <v>3</v>
      </c>
      <c r="F417" s="18" t="s">
        <v>5</v>
      </c>
      <c r="G417" s="18" t="s">
        <v>6</v>
      </c>
      <c r="H417" s="18" t="s">
        <v>7</v>
      </c>
      <c r="I417" s="18" t="s">
        <v>8</v>
      </c>
    </row>
    <row r="418" spans="1:9" ht="12.75">
      <c r="A418" s="23" t="s">
        <v>111</v>
      </c>
      <c r="B418" s="23" t="s">
        <v>22</v>
      </c>
      <c r="C418" s="24">
        <f>(4/3)^2*E418</f>
        <v>40.94222222222222</v>
      </c>
      <c r="D418" s="18">
        <v>34.63</v>
      </c>
      <c r="E418" s="18">
        <v>23.03</v>
      </c>
      <c r="F418" s="25">
        <f>-((D418-C418)/D418)</f>
        <v>0.18227612538903312</v>
      </c>
      <c r="G418" s="24">
        <f>C418-D418</f>
        <v>6.312222222222218</v>
      </c>
      <c r="H418" s="18">
        <v>2000</v>
      </c>
      <c r="I418" s="18" t="s">
        <v>112</v>
      </c>
    </row>
    <row r="419" spans="1:9" ht="12.75">
      <c r="A419" s="23"/>
      <c r="B419" s="23" t="s">
        <v>13</v>
      </c>
      <c r="C419" s="24">
        <f>(4/3)^2*E419</f>
        <v>32.85333333333333</v>
      </c>
      <c r="D419" s="18">
        <v>29.14</v>
      </c>
      <c r="E419" s="18">
        <v>18.48</v>
      </c>
      <c r="F419" s="25">
        <f>-((D419-C419)/D419)</f>
        <v>0.12743079386867986</v>
      </c>
      <c r="G419" s="24">
        <f>C419-D419</f>
        <v>3.713333333333331</v>
      </c>
      <c r="H419" s="18">
        <v>2000</v>
      </c>
      <c r="I419" s="18" t="s">
        <v>112</v>
      </c>
    </row>
    <row r="420" spans="1:9" ht="12.75">
      <c r="A420" s="23"/>
      <c r="B420" s="23" t="s">
        <v>36</v>
      </c>
      <c r="C420" s="24">
        <f>(4/3)^2*E420</f>
        <v>29.493333333333332</v>
      </c>
      <c r="D420" s="18">
        <v>26.08</v>
      </c>
      <c r="E420" s="18">
        <v>16.59</v>
      </c>
      <c r="F420" s="25">
        <f>-((D420-C420)/D420)</f>
        <v>0.13087934560327202</v>
      </c>
      <c r="G420" s="24">
        <f>C420-D420</f>
        <v>3.413333333333334</v>
      </c>
      <c r="H420" s="18">
        <v>2000</v>
      </c>
      <c r="I420" s="18" t="s">
        <v>112</v>
      </c>
    </row>
    <row r="421" spans="1:9" ht="12.75">
      <c r="A421" s="23"/>
      <c r="B421" s="23" t="s">
        <v>114</v>
      </c>
      <c r="C421" s="24">
        <f>(4/3)^2*E421</f>
        <v>28.391111111111112</v>
      </c>
      <c r="D421" s="18">
        <v>25.58</v>
      </c>
      <c r="E421" s="18">
        <v>15.97</v>
      </c>
      <c r="F421" s="25">
        <f>-((D421-C421)/D421)</f>
        <v>0.10989488315524291</v>
      </c>
      <c r="G421" s="24">
        <f>C421-D421</f>
        <v>2.8111111111111136</v>
      </c>
      <c r="H421" s="18">
        <v>2000</v>
      </c>
      <c r="I421" s="18" t="s">
        <v>112</v>
      </c>
    </row>
    <row r="422" spans="1:9" ht="12.75">
      <c r="A422" s="23"/>
      <c r="B422" s="23" t="s">
        <v>115</v>
      </c>
      <c r="C422" s="24">
        <f>(4/3)^2*E422</f>
        <v>25.19111111111111</v>
      </c>
      <c r="D422" s="18">
        <v>22.42</v>
      </c>
      <c r="E422" s="18">
        <v>14.17</v>
      </c>
      <c r="F422" s="25">
        <f>-((D422-C422)/D422)</f>
        <v>0.12359996035285938</v>
      </c>
      <c r="G422" s="24">
        <f>C422-D422</f>
        <v>2.7711111111111073</v>
      </c>
      <c r="H422" s="18">
        <v>2000</v>
      </c>
      <c r="I422" s="18" t="s">
        <v>112</v>
      </c>
    </row>
    <row r="423" spans="1:8" ht="12.75">
      <c r="A423" s="23"/>
      <c r="B423" s="23"/>
      <c r="C423" s="24"/>
      <c r="D423" s="18"/>
      <c r="E423" s="18" t="s">
        <v>14</v>
      </c>
      <c r="F423" s="25">
        <f>AVERAGE(F418:F422)</f>
        <v>0.13481622167381746</v>
      </c>
      <c r="G423" s="24">
        <f>AVERAGE(G418:G422)</f>
        <v>3.804222222222221</v>
      </c>
      <c r="H423" s="18"/>
    </row>
    <row r="424" spans="1:8" ht="12.75">
      <c r="A424" s="23"/>
      <c r="B424" s="23"/>
      <c r="C424" s="24"/>
      <c r="D424" s="18"/>
      <c r="E424" s="18"/>
      <c r="F424" s="25"/>
      <c r="G424" s="24"/>
      <c r="H424" s="18"/>
    </row>
    <row r="425" spans="1:9" ht="12.75">
      <c r="A425" s="1" t="s">
        <v>0</v>
      </c>
      <c r="B425" s="1" t="s">
        <v>1</v>
      </c>
      <c r="C425" s="2" t="s">
        <v>29</v>
      </c>
      <c r="D425" s="2" t="s">
        <v>3</v>
      </c>
      <c r="E425" s="2" t="s">
        <v>4</v>
      </c>
      <c r="F425" s="2" t="s">
        <v>5</v>
      </c>
      <c r="G425" s="2" t="s">
        <v>6</v>
      </c>
      <c r="H425" s="2" t="s">
        <v>7</v>
      </c>
      <c r="I425" s="2" t="s">
        <v>8</v>
      </c>
    </row>
    <row r="426" spans="1:9" ht="12.75">
      <c r="A426" s="1" t="s">
        <v>116</v>
      </c>
      <c r="B426" s="1" t="s">
        <v>25</v>
      </c>
      <c r="C426" s="3">
        <f>(3/2)^1.27*E426</f>
        <v>19.71429220854545</v>
      </c>
      <c r="D426" s="2">
        <v>19.48</v>
      </c>
      <c r="E426" s="2">
        <v>11.78</v>
      </c>
      <c r="F426" s="4">
        <f>-((D426-C426)/D426)</f>
        <v>0.012027320767220281</v>
      </c>
      <c r="G426" s="3">
        <f>C426-D426</f>
        <v>0.23429220854545107</v>
      </c>
      <c r="H426" s="2">
        <v>1350</v>
      </c>
      <c r="I426" s="2" t="s">
        <v>117</v>
      </c>
    </row>
    <row r="427" spans="1:9" ht="12.75">
      <c r="A427" s="1"/>
      <c r="B427" s="1" t="s">
        <v>27</v>
      </c>
      <c r="C427" s="3">
        <f>(3/2)^1.27*E427</f>
        <v>14.375702043413025</v>
      </c>
      <c r="D427" s="2">
        <v>14.53</v>
      </c>
      <c r="E427" s="2">
        <v>8.59</v>
      </c>
      <c r="F427" s="4">
        <f>-((D427-C427)/D427)</f>
        <v>-0.010619267487059509</v>
      </c>
      <c r="G427" s="3">
        <f>C427-D427</f>
        <v>-0.15429795658697465</v>
      </c>
      <c r="H427" s="2">
        <v>1350</v>
      </c>
      <c r="I427" s="2" t="s">
        <v>117</v>
      </c>
    </row>
    <row r="428" spans="1:9" ht="12.75">
      <c r="A428" s="1"/>
      <c r="B428" s="1" t="s">
        <v>71</v>
      </c>
      <c r="C428" s="3">
        <f>(3/2)^1.27*E428</f>
        <v>19.898381524584504</v>
      </c>
      <c r="D428" s="2">
        <v>20</v>
      </c>
      <c r="E428" s="2">
        <v>11.89</v>
      </c>
      <c r="F428" s="4">
        <f>-((D428-C428)/D428)</f>
        <v>-0.005080923770774781</v>
      </c>
      <c r="G428" s="3">
        <f>C428-D428</f>
        <v>-0.10161847541549562</v>
      </c>
      <c r="H428" s="2">
        <v>1350</v>
      </c>
      <c r="I428" s="2" t="s">
        <v>117</v>
      </c>
    </row>
    <row r="429" spans="1:9" ht="12.75">
      <c r="A429" s="1"/>
      <c r="B429" s="1" t="s">
        <v>52</v>
      </c>
      <c r="C429" s="3">
        <f>(3/2)^1.27*E429</f>
        <v>21.153535952123473</v>
      </c>
      <c r="D429" s="2">
        <v>20.84</v>
      </c>
      <c r="E429" s="2">
        <v>12.64</v>
      </c>
      <c r="F429" s="4">
        <f>-((D429-C429)/D429)</f>
        <v>0.015044911330301022</v>
      </c>
      <c r="G429" s="3">
        <f>C429-D429</f>
        <v>0.3135359521234733</v>
      </c>
      <c r="H429" s="2">
        <v>1350</v>
      </c>
      <c r="I429" s="2" t="s">
        <v>117</v>
      </c>
    </row>
    <row r="430" spans="1:9" ht="12.75">
      <c r="A430" s="1"/>
      <c r="B430" s="1"/>
      <c r="C430" s="3"/>
      <c r="D430" s="2"/>
      <c r="E430" s="2" t="s">
        <v>14</v>
      </c>
      <c r="F430" s="4">
        <f>AVERAGE(F426:F429)</f>
        <v>0.002843010209921753</v>
      </c>
      <c r="G430" s="3">
        <f>AVERAGE(G426:G429)</f>
        <v>0.07297793216661352</v>
      </c>
      <c r="H430" s="2"/>
      <c r="I430" s="2"/>
    </row>
    <row r="431" spans="1:9" ht="12.75">
      <c r="A431" s="1"/>
      <c r="B431" s="1"/>
      <c r="C431" s="3"/>
      <c r="D431" s="2"/>
      <c r="E431" s="2"/>
      <c r="F431" s="4"/>
      <c r="G431" s="3"/>
      <c r="H431" s="2"/>
      <c r="I431" s="2"/>
    </row>
    <row r="432" spans="1:9" ht="12.75">
      <c r="A432" s="5" t="s">
        <v>0</v>
      </c>
      <c r="B432" s="5" t="s">
        <v>1</v>
      </c>
      <c r="C432" s="6" t="s">
        <v>15</v>
      </c>
      <c r="D432" s="6" t="s">
        <v>3</v>
      </c>
      <c r="E432" s="6" t="s">
        <v>4</v>
      </c>
      <c r="F432" s="6" t="s">
        <v>5</v>
      </c>
      <c r="G432" s="6" t="s">
        <v>6</v>
      </c>
      <c r="H432" s="6" t="s">
        <v>7</v>
      </c>
      <c r="I432" s="6" t="s">
        <v>8</v>
      </c>
    </row>
    <row r="433" spans="1:9" ht="12.75">
      <c r="A433" s="5" t="s">
        <v>116</v>
      </c>
      <c r="B433" s="5" t="s">
        <v>25</v>
      </c>
      <c r="C433" s="7">
        <f>(3/2)^2*E433</f>
        <v>26.505</v>
      </c>
      <c r="D433" s="6">
        <v>19.48</v>
      </c>
      <c r="E433" s="6">
        <v>11.78</v>
      </c>
      <c r="F433" s="8">
        <f>-((D433-C433)/D433)</f>
        <v>0.36062628336755637</v>
      </c>
      <c r="G433" s="7">
        <f>C433-D433</f>
        <v>7.024999999999999</v>
      </c>
      <c r="H433" s="6">
        <v>1350</v>
      </c>
      <c r="I433" s="6" t="s">
        <v>117</v>
      </c>
    </row>
    <row r="434" spans="1:9" ht="12.75">
      <c r="A434" s="5"/>
      <c r="B434" s="5" t="s">
        <v>27</v>
      </c>
      <c r="C434" s="7">
        <f>(3/2)^2*E434</f>
        <v>19.3275</v>
      </c>
      <c r="D434" s="6">
        <v>14.53</v>
      </c>
      <c r="E434" s="6">
        <v>8.59</v>
      </c>
      <c r="F434" s="8">
        <f>-((D434-C434)/D434)</f>
        <v>0.3301789401238817</v>
      </c>
      <c r="G434" s="7">
        <f>C434-D434</f>
        <v>4.797500000000001</v>
      </c>
      <c r="H434" s="6">
        <v>1350</v>
      </c>
      <c r="I434" s="6" t="s">
        <v>117</v>
      </c>
    </row>
    <row r="435" spans="1:9" ht="12.75">
      <c r="A435" s="5"/>
      <c r="B435" s="5" t="s">
        <v>71</v>
      </c>
      <c r="C435" s="7">
        <f>(3/2)^2*E435</f>
        <v>26.7525</v>
      </c>
      <c r="D435" s="6">
        <v>20</v>
      </c>
      <c r="E435" s="6">
        <v>11.89</v>
      </c>
      <c r="F435" s="8">
        <f>-((D435-C435)/D435)</f>
        <v>0.33762500000000006</v>
      </c>
      <c r="G435" s="7">
        <f>C435-D435</f>
        <v>6.752500000000001</v>
      </c>
      <c r="H435" s="6">
        <v>1350</v>
      </c>
      <c r="I435" s="6" t="s">
        <v>117</v>
      </c>
    </row>
    <row r="436" spans="1:9" ht="12.75">
      <c r="A436" s="5"/>
      <c r="B436" s="5" t="s">
        <v>52</v>
      </c>
      <c r="C436" s="7">
        <f>(3/2)^2*E436</f>
        <v>28.44</v>
      </c>
      <c r="D436" s="6">
        <v>20.84</v>
      </c>
      <c r="E436" s="6">
        <v>12.64</v>
      </c>
      <c r="F436" s="8">
        <f>-((D436-C436)/D436)</f>
        <v>0.36468330134357013</v>
      </c>
      <c r="G436" s="7">
        <f>C436-D436</f>
        <v>7.600000000000001</v>
      </c>
      <c r="H436" s="6">
        <v>1350</v>
      </c>
      <c r="I436" s="6" t="s">
        <v>117</v>
      </c>
    </row>
    <row r="437" spans="1:9" ht="12.75">
      <c r="A437" s="5"/>
      <c r="B437" s="5"/>
      <c r="C437" s="7"/>
      <c r="D437" s="6"/>
      <c r="E437" s="6" t="s">
        <v>14</v>
      </c>
      <c r="F437" s="8">
        <f>AVERAGE(F433:F436)</f>
        <v>0.3482783812087521</v>
      </c>
      <c r="G437" s="7">
        <f>AVERAGE(G433:G436)</f>
        <v>6.543750000000001</v>
      </c>
      <c r="H437" s="6"/>
      <c r="I437" s="6"/>
    </row>
    <row r="438" spans="3:8" ht="12.75">
      <c r="C438" s="28"/>
      <c r="D438" s="6"/>
      <c r="E438" s="6"/>
      <c r="F438" s="6"/>
      <c r="G438" s="6"/>
      <c r="H438" s="6"/>
    </row>
    <row r="439" spans="1:9" ht="12.75">
      <c r="A439" s="20" t="s">
        <v>0</v>
      </c>
      <c r="B439" s="20" t="s">
        <v>1</v>
      </c>
      <c r="C439" s="16" t="s">
        <v>118</v>
      </c>
      <c r="D439" s="16" t="s">
        <v>73</v>
      </c>
      <c r="E439" s="16" t="s">
        <v>3</v>
      </c>
      <c r="F439" s="16" t="s">
        <v>5</v>
      </c>
      <c r="G439" s="16" t="s">
        <v>6</v>
      </c>
      <c r="H439" s="16" t="s">
        <v>7</v>
      </c>
      <c r="I439" s="16" t="s">
        <v>8</v>
      </c>
    </row>
    <row r="440" spans="1:9" ht="12.75">
      <c r="A440" s="20" t="s">
        <v>116</v>
      </c>
      <c r="B440" s="20" t="s">
        <v>51</v>
      </c>
      <c r="C440" s="21">
        <f>(4/3)^1.62*E440</f>
        <v>24.048610758203065</v>
      </c>
      <c r="D440" s="16">
        <v>23.33</v>
      </c>
      <c r="E440" s="16">
        <v>15.09</v>
      </c>
      <c r="F440" s="22">
        <f>-((D440-C440)/D440)</f>
        <v>0.030802004209304183</v>
      </c>
      <c r="G440" s="21">
        <f>C440-D440</f>
        <v>0.7186107582030665</v>
      </c>
      <c r="H440" s="16">
        <v>1350</v>
      </c>
      <c r="I440" s="16" t="s">
        <v>117</v>
      </c>
    </row>
    <row r="441" spans="2:9" ht="12.75">
      <c r="B441" s="15" t="s">
        <v>67</v>
      </c>
      <c r="C441" s="21">
        <f>(4/3)^1.62*E441</f>
        <v>22.120259597339867</v>
      </c>
      <c r="D441" s="16">
        <v>21.52</v>
      </c>
      <c r="E441" s="16">
        <v>13.88</v>
      </c>
      <c r="F441" s="22">
        <f>-((D441-C441)/D441)</f>
        <v>0.027893103965607235</v>
      </c>
      <c r="G441" s="21">
        <f>C441-D441</f>
        <v>0.6002595973398677</v>
      </c>
      <c r="H441" s="16">
        <v>1350</v>
      </c>
      <c r="I441" s="16" t="s">
        <v>117</v>
      </c>
    </row>
    <row r="442" spans="2:9" ht="12.75">
      <c r="B442" s="15" t="s">
        <v>41</v>
      </c>
      <c r="C442" s="21">
        <f>(4/3)^1.62*E442</f>
        <v>21.29154670176229</v>
      </c>
      <c r="D442" s="16">
        <v>21.39</v>
      </c>
      <c r="E442" s="16">
        <v>13.36</v>
      </c>
      <c r="F442" s="22">
        <f>-((D442-C442)/D442)</f>
        <v>-0.0046027722411272134</v>
      </c>
      <c r="G442" s="21">
        <f>C442-D442</f>
        <v>-0.0984532982377111</v>
      </c>
      <c r="H442" s="16">
        <v>1350</v>
      </c>
      <c r="I442" s="16" t="s">
        <v>117</v>
      </c>
    </row>
    <row r="443" spans="2:9" ht="12.75">
      <c r="B443" s="15" t="s">
        <v>42</v>
      </c>
      <c r="C443" s="21">
        <f>(4/3)^1.62*E443</f>
        <v>20.988747759147408</v>
      </c>
      <c r="D443" s="16">
        <v>20.71</v>
      </c>
      <c r="E443" s="16">
        <v>13.17</v>
      </c>
      <c r="F443" s="22">
        <f>-((D443-C443)/D443)</f>
        <v>0.013459573111897983</v>
      </c>
      <c r="G443" s="21">
        <f>C443-D443</f>
        <v>0.27874775914740724</v>
      </c>
      <c r="H443" s="16">
        <v>1350</v>
      </c>
      <c r="I443" s="16" t="s">
        <v>117</v>
      </c>
    </row>
    <row r="444" spans="2:9" ht="12.75">
      <c r="B444" s="15" t="s">
        <v>21</v>
      </c>
      <c r="C444" s="21">
        <f>(4/3)^1.62*E444</f>
        <v>17.32328687486198</v>
      </c>
      <c r="D444" s="16">
        <v>18.14</v>
      </c>
      <c r="E444" s="16">
        <v>10.87</v>
      </c>
      <c r="F444" s="22">
        <f>-((D444-C444)/D444)</f>
        <v>-0.04502277426339686</v>
      </c>
      <c r="G444" s="21">
        <f>C444-D444</f>
        <v>-0.8167131251380191</v>
      </c>
      <c r="H444" s="16">
        <v>1350</v>
      </c>
      <c r="I444" s="16" t="s">
        <v>117</v>
      </c>
    </row>
    <row r="445" spans="2:9" ht="12.75">
      <c r="B445" s="15" t="s">
        <v>35</v>
      </c>
      <c r="C445" s="21">
        <f>(4/3)^1.62*E445</f>
        <v>16.845183281259537</v>
      </c>
      <c r="D445" s="16">
        <v>17</v>
      </c>
      <c r="E445" s="16">
        <v>10.57</v>
      </c>
      <c r="F445" s="22">
        <f>-((D445-C445)/D445)</f>
        <v>-0.009106865808262529</v>
      </c>
      <c r="G445" s="21">
        <f>C445-D445</f>
        <v>-0.154816718740463</v>
      </c>
      <c r="H445" s="16">
        <v>1350</v>
      </c>
      <c r="I445" s="16" t="s">
        <v>117</v>
      </c>
    </row>
    <row r="446" spans="2:9" ht="12.75">
      <c r="B446" s="15"/>
      <c r="C446" s="21"/>
      <c r="D446" s="16"/>
      <c r="E446" s="16" t="s">
        <v>14</v>
      </c>
      <c r="F446" s="22">
        <f>AVERAGE(F440:F445)</f>
        <v>0.0022370448290038</v>
      </c>
      <c r="G446" s="21">
        <f>AVERAGE(G440:G445)</f>
        <v>0.08793916209569137</v>
      </c>
      <c r="H446" s="16"/>
      <c r="I446" s="16"/>
    </row>
    <row r="447" spans="2:9" ht="12.75">
      <c r="B447" s="15"/>
      <c r="C447" s="21"/>
      <c r="D447" s="16"/>
      <c r="E447" s="16"/>
      <c r="F447" s="22"/>
      <c r="G447" s="21"/>
      <c r="H447" s="16"/>
      <c r="I447" s="16"/>
    </row>
    <row r="448" spans="1:9" ht="12.75">
      <c r="A448" s="23" t="s">
        <v>0</v>
      </c>
      <c r="B448" s="23" t="s">
        <v>1</v>
      </c>
      <c r="C448" s="18" t="s">
        <v>74</v>
      </c>
      <c r="D448" s="18" t="s">
        <v>73</v>
      </c>
      <c r="E448" s="18" t="s">
        <v>3</v>
      </c>
      <c r="F448" s="18" t="s">
        <v>5</v>
      </c>
      <c r="G448" s="18" t="s">
        <v>6</v>
      </c>
      <c r="H448" s="18" t="s">
        <v>7</v>
      </c>
      <c r="I448" s="18" t="s">
        <v>8</v>
      </c>
    </row>
    <row r="449" spans="1:9" ht="12.75">
      <c r="A449" s="23" t="s">
        <v>116</v>
      </c>
      <c r="B449" s="23" t="s">
        <v>51</v>
      </c>
      <c r="C449" s="24">
        <f>(4/3)^2*E449</f>
        <v>26.826666666666664</v>
      </c>
      <c r="D449" s="18">
        <v>23.33</v>
      </c>
      <c r="E449" s="18">
        <v>15.09</v>
      </c>
      <c r="F449" s="25">
        <f>-((D449-C449)/D449)</f>
        <v>0.14987855407915415</v>
      </c>
      <c r="G449" s="24">
        <f>C449-D449</f>
        <v>3.496666666666666</v>
      </c>
      <c r="H449" s="18">
        <v>1350</v>
      </c>
      <c r="I449" s="18" t="s">
        <v>117</v>
      </c>
    </row>
    <row r="450" spans="1:9" ht="12.75">
      <c r="A450" s="5"/>
      <c r="B450" s="17" t="s">
        <v>67</v>
      </c>
      <c r="C450" s="24">
        <f>(4/3)^2*E450</f>
        <v>24.675555555555555</v>
      </c>
      <c r="D450" s="18">
        <v>21.52</v>
      </c>
      <c r="E450" s="18">
        <v>13.88</v>
      </c>
      <c r="F450" s="25">
        <f>-((D450-C450)/D450)</f>
        <v>0.14663362247005368</v>
      </c>
      <c r="G450" s="24">
        <f>C450-D450</f>
        <v>3.155555555555555</v>
      </c>
      <c r="H450" s="18">
        <v>1350</v>
      </c>
      <c r="I450" s="18" t="s">
        <v>117</v>
      </c>
    </row>
    <row r="451" spans="1:9" ht="12.75">
      <c r="A451" s="5"/>
      <c r="B451" s="17" t="s">
        <v>41</v>
      </c>
      <c r="C451" s="24">
        <f>(4/3)^2*E451</f>
        <v>23.751111111111108</v>
      </c>
      <c r="D451" s="18">
        <v>21.39</v>
      </c>
      <c r="E451" s="18">
        <v>13.36</v>
      </c>
      <c r="F451" s="25">
        <f>-((D451-C451)/D451)</f>
        <v>0.1103838761622771</v>
      </c>
      <c r="G451" s="24">
        <f>C451-D451</f>
        <v>2.361111111111107</v>
      </c>
      <c r="H451" s="18">
        <v>1350</v>
      </c>
      <c r="I451" s="18" t="s">
        <v>117</v>
      </c>
    </row>
    <row r="452" spans="1:9" ht="12.75">
      <c r="A452" s="5"/>
      <c r="B452" s="17" t="s">
        <v>42</v>
      </c>
      <c r="C452" s="24">
        <f>(4/3)^2*E452</f>
        <v>23.41333333333333</v>
      </c>
      <c r="D452" s="18">
        <v>20.71</v>
      </c>
      <c r="E452" s="18">
        <v>13.17</v>
      </c>
      <c r="F452" s="25">
        <f>-((D452-C452)/D452)</f>
        <v>0.1305327539031062</v>
      </c>
      <c r="G452" s="24">
        <f>C452-D452</f>
        <v>2.7033333333333296</v>
      </c>
      <c r="H452" s="18">
        <v>1350</v>
      </c>
      <c r="I452" s="18" t="s">
        <v>117</v>
      </c>
    </row>
    <row r="453" spans="1:9" ht="12.75">
      <c r="A453" s="5"/>
      <c r="B453" s="17" t="s">
        <v>21</v>
      </c>
      <c r="C453" s="24">
        <f>(4/3)^2*E453</f>
        <v>19.324444444444442</v>
      </c>
      <c r="D453" s="18">
        <v>18.14</v>
      </c>
      <c r="E453" s="18">
        <v>10.87</v>
      </c>
      <c r="F453" s="25">
        <f>-((D453-C453)/D453)</f>
        <v>0.06529462207521727</v>
      </c>
      <c r="G453" s="24">
        <f>C453-D453</f>
        <v>1.1844444444444413</v>
      </c>
      <c r="H453" s="18">
        <v>1350</v>
      </c>
      <c r="I453" s="18" t="s">
        <v>117</v>
      </c>
    </row>
    <row r="454" spans="1:9" ht="12.75">
      <c r="A454" s="5"/>
      <c r="B454" s="17" t="s">
        <v>35</v>
      </c>
      <c r="C454" s="24">
        <f>(4/3)^2*E454</f>
        <v>18.79111111111111</v>
      </c>
      <c r="D454" s="18">
        <v>17</v>
      </c>
      <c r="E454" s="18">
        <v>10.57</v>
      </c>
      <c r="F454" s="25">
        <f>-((D454-C454)/D454)</f>
        <v>0.10535947712418296</v>
      </c>
      <c r="G454" s="24">
        <f>C454-D454</f>
        <v>1.7911111111111104</v>
      </c>
      <c r="H454" s="18">
        <v>1350</v>
      </c>
      <c r="I454" s="18" t="s">
        <v>117</v>
      </c>
    </row>
    <row r="455" spans="1:9" ht="12.75">
      <c r="A455" s="5"/>
      <c r="B455" s="17"/>
      <c r="C455" s="24"/>
      <c r="D455" s="18"/>
      <c r="E455" s="18" t="s">
        <v>14</v>
      </c>
      <c r="F455" s="25">
        <f>AVERAGE(F449:F454)</f>
        <v>0.11801381763566522</v>
      </c>
      <c r="G455" s="24">
        <f>AVERAGE(G449:G454)</f>
        <v>2.4487037037037016</v>
      </c>
      <c r="H455" s="18"/>
      <c r="I455" s="18"/>
    </row>
    <row r="456" spans="1:9" ht="12.75">
      <c r="A456" s="5"/>
      <c r="B456" s="17"/>
      <c r="C456" s="24"/>
      <c r="D456" s="18"/>
      <c r="E456" s="18"/>
      <c r="F456" s="25"/>
      <c r="G456" s="24"/>
      <c r="H456" s="18"/>
      <c r="I456" s="18"/>
    </row>
    <row r="457" spans="1:9" ht="12.75">
      <c r="A457" s="1" t="s">
        <v>0</v>
      </c>
      <c r="B457" s="1" t="s">
        <v>1</v>
      </c>
      <c r="C457" s="2" t="s">
        <v>75</v>
      </c>
      <c r="D457" s="2" t="s">
        <v>3</v>
      </c>
      <c r="E457" s="2" t="s">
        <v>4</v>
      </c>
      <c r="F457" s="2" t="s">
        <v>5</v>
      </c>
      <c r="G457" s="2" t="s">
        <v>6</v>
      </c>
      <c r="H457" s="2" t="s">
        <v>7</v>
      </c>
      <c r="I457" s="2" t="s">
        <v>8</v>
      </c>
    </row>
    <row r="458" spans="1:9" ht="12.75">
      <c r="A458" s="1" t="s">
        <v>119</v>
      </c>
      <c r="B458" s="1" t="s">
        <v>55</v>
      </c>
      <c r="C458" s="3">
        <f>(3/2)^1.38*E458</f>
        <v>18.9336000215985</v>
      </c>
      <c r="D458" s="2">
        <v>17.95</v>
      </c>
      <c r="E458" s="2">
        <v>10.82</v>
      </c>
      <c r="F458" s="4">
        <f>-((D458-C458)/D458)</f>
        <v>0.05479665858487475</v>
      </c>
      <c r="G458" s="3">
        <f>C458-D458</f>
        <v>0.9836000215985017</v>
      </c>
      <c r="H458" s="2">
        <v>1100</v>
      </c>
      <c r="I458" s="2" t="s">
        <v>112</v>
      </c>
    </row>
    <row r="459" spans="1:9" ht="12.75">
      <c r="A459" s="1"/>
      <c r="B459" s="1" t="s">
        <v>56</v>
      </c>
      <c r="C459" s="3">
        <f>(3/2)^1.38*E459</f>
        <v>14.891398907930057</v>
      </c>
      <c r="D459" s="2">
        <v>14.91</v>
      </c>
      <c r="E459" s="2">
        <v>8.51</v>
      </c>
      <c r="F459" s="4">
        <f>-((D459-C459)/D459)</f>
        <v>-0.0012475581535843791</v>
      </c>
      <c r="G459" s="3">
        <f>C459-D459</f>
        <v>-0.018601092069943093</v>
      </c>
      <c r="H459" s="2">
        <v>1100</v>
      </c>
      <c r="I459" s="2" t="s">
        <v>112</v>
      </c>
    </row>
    <row r="460" spans="1:9" ht="12.75">
      <c r="A460" s="1"/>
      <c r="B460" s="1" t="s">
        <v>47</v>
      </c>
      <c r="C460" s="3">
        <f>(3/2)^1.38*E460</f>
        <v>13.998964895821441</v>
      </c>
      <c r="D460" s="2">
        <v>14.33</v>
      </c>
      <c r="E460" s="2">
        <v>8</v>
      </c>
      <c r="F460" s="4">
        <f>-((D460-C460)/D460)</f>
        <v>-0.023100844674009705</v>
      </c>
      <c r="G460" s="3">
        <f>C460-D460</f>
        <v>-0.3310351041785591</v>
      </c>
      <c r="H460" s="2">
        <v>1100</v>
      </c>
      <c r="I460" s="2" t="s">
        <v>112</v>
      </c>
    </row>
    <row r="461" spans="1:9" ht="12.75">
      <c r="A461" s="1"/>
      <c r="B461" s="1" t="s">
        <v>103</v>
      </c>
      <c r="C461" s="3">
        <f>(3/2)^1.38*E461</f>
        <v>19.161083201155595</v>
      </c>
      <c r="D461" s="2">
        <v>18.16</v>
      </c>
      <c r="E461" s="2">
        <v>10.95</v>
      </c>
      <c r="F461" s="4">
        <f>-((D461-C461)/D461)</f>
        <v>0.05512572693588077</v>
      </c>
      <c r="G461" s="3">
        <f>C461-D461</f>
        <v>1.0010832011555948</v>
      </c>
      <c r="H461" s="2">
        <v>1100</v>
      </c>
      <c r="I461" s="2" t="s">
        <v>112</v>
      </c>
    </row>
    <row r="462" spans="1:9" ht="12.75">
      <c r="A462" s="1"/>
      <c r="B462" s="1" t="s">
        <v>104</v>
      </c>
      <c r="C462" s="3">
        <f>(3/2)^1.38*E462</f>
        <v>16.973744936183497</v>
      </c>
      <c r="D462" s="2">
        <v>16.65</v>
      </c>
      <c r="E462" s="2">
        <v>9.7</v>
      </c>
      <c r="F462" s="4">
        <f>-((D462-C462)/D462)</f>
        <v>0.01944414031132122</v>
      </c>
      <c r="G462" s="3">
        <f>C462-D462</f>
        <v>0.3237449361834983</v>
      </c>
      <c r="H462" s="2">
        <v>1100</v>
      </c>
      <c r="I462" s="2" t="s">
        <v>112</v>
      </c>
    </row>
    <row r="463" spans="1:9" ht="12.75">
      <c r="A463" s="1"/>
      <c r="B463" s="1" t="s">
        <v>105</v>
      </c>
      <c r="C463" s="3">
        <f>(3/2)^1.38*E463</f>
        <v>15.486354916002469</v>
      </c>
      <c r="D463" s="2">
        <v>15.63</v>
      </c>
      <c r="E463" s="2">
        <v>8.85</v>
      </c>
      <c r="F463" s="4">
        <f>-((D463-C463)/D463)</f>
        <v>-0.00919034446561304</v>
      </c>
      <c r="G463" s="3">
        <f>C463-D463</f>
        <v>-0.14364508399753184</v>
      </c>
      <c r="H463" s="2">
        <v>1100</v>
      </c>
      <c r="I463" s="2" t="s">
        <v>112</v>
      </c>
    </row>
    <row r="464" spans="1:9" ht="12.75">
      <c r="A464" s="1"/>
      <c r="B464" s="1" t="s">
        <v>87</v>
      </c>
      <c r="C464" s="3">
        <f>(3/2)^1.38*E464</f>
        <v>17.866178948292117</v>
      </c>
      <c r="D464" s="2">
        <v>18.09</v>
      </c>
      <c r="E464" s="2">
        <v>10.21</v>
      </c>
      <c r="F464" s="4">
        <f>-((D464-C464)/D464)</f>
        <v>-0.012372639674288742</v>
      </c>
      <c r="G464" s="3">
        <f>C464-D464</f>
        <v>-0.22382105170788336</v>
      </c>
      <c r="H464" s="2">
        <v>1100</v>
      </c>
      <c r="I464" s="2" t="s">
        <v>112</v>
      </c>
    </row>
    <row r="465" spans="1:9" ht="12.75">
      <c r="A465" s="1"/>
      <c r="B465" s="1" t="s">
        <v>83</v>
      </c>
      <c r="C465" s="3">
        <f>(3/2)^1.38*E465</f>
        <v>18.513631074723857</v>
      </c>
      <c r="D465" s="2">
        <v>17.8</v>
      </c>
      <c r="E465" s="2">
        <v>10.58</v>
      </c>
      <c r="F465" s="4">
        <f>-((D465-C465)/D465)</f>
        <v>0.040091633411452623</v>
      </c>
      <c r="G465" s="3">
        <f>C465-D465</f>
        <v>0.7136310747238568</v>
      </c>
      <c r="H465" s="2">
        <v>1100</v>
      </c>
      <c r="I465" s="2" t="s">
        <v>112</v>
      </c>
    </row>
    <row r="466" spans="1:9" ht="12.75">
      <c r="A466" s="1"/>
      <c r="B466" s="1" t="s">
        <v>60</v>
      </c>
      <c r="C466" s="3">
        <f>(3/2)^1.38*E466</f>
        <v>19.493558617431358</v>
      </c>
      <c r="D466" s="2">
        <v>19.36</v>
      </c>
      <c r="E466" s="2">
        <v>11.14</v>
      </c>
      <c r="F466" s="4">
        <f>-((D466-C466)/D466)</f>
        <v>0.0068986889169090045</v>
      </c>
      <c r="G466" s="3">
        <f>C466-D466</f>
        <v>0.13355861743135833</v>
      </c>
      <c r="H466" s="2">
        <v>1100</v>
      </c>
      <c r="I466" s="2" t="s">
        <v>112</v>
      </c>
    </row>
    <row r="467" spans="1:9" ht="12.75">
      <c r="A467" s="1"/>
      <c r="B467" s="1" t="s">
        <v>84</v>
      </c>
      <c r="C467" s="3">
        <f>(3/2)^1.38*E467</f>
        <v>13.264019238790816</v>
      </c>
      <c r="D467" s="2">
        <v>13.67</v>
      </c>
      <c r="E467" s="2">
        <v>7.58</v>
      </c>
      <c r="F467" s="4">
        <f>-((D467-C467)/D467)</f>
        <v>-0.02969866577975012</v>
      </c>
      <c r="G467" s="3">
        <f>C467-D467</f>
        <v>-0.40598076120918414</v>
      </c>
      <c r="H467" s="2">
        <v>1100</v>
      </c>
      <c r="I467" s="2" t="s">
        <v>112</v>
      </c>
    </row>
    <row r="468" spans="1:9" ht="12.75">
      <c r="A468" s="1"/>
      <c r="B468" s="1" t="s">
        <v>48</v>
      </c>
      <c r="C468" s="3">
        <f>(3/2)^1.38*E468</f>
        <v>12.96654123475461</v>
      </c>
      <c r="D468" s="2">
        <v>12.94</v>
      </c>
      <c r="E468" s="2">
        <v>7.41</v>
      </c>
      <c r="F468" s="4">
        <f>-((D468-C468)/D468)</f>
        <v>0.002051100058316101</v>
      </c>
      <c r="G468" s="3">
        <f>C468-D468</f>
        <v>0.026541234754610343</v>
      </c>
      <c r="H468" s="2">
        <v>1100</v>
      </c>
      <c r="I468" s="2" t="s">
        <v>112</v>
      </c>
    </row>
    <row r="469" spans="1:9" ht="12.75">
      <c r="A469" s="1"/>
      <c r="B469" s="1" t="s">
        <v>49</v>
      </c>
      <c r="C469" s="3">
        <f>(3/2)^1.38*E469</f>
        <v>12.231595577723985</v>
      </c>
      <c r="D469" s="2">
        <v>13.23</v>
      </c>
      <c r="E469" s="2">
        <v>6.99</v>
      </c>
      <c r="F469" s="4">
        <f>-((D469-C469)/D469)</f>
        <v>-0.07546518686893543</v>
      </c>
      <c r="G469" s="3">
        <f>C469-D469</f>
        <v>-0.9984044222760158</v>
      </c>
      <c r="H469" s="2">
        <v>1100</v>
      </c>
      <c r="I469" s="2" t="s">
        <v>112</v>
      </c>
    </row>
    <row r="470" spans="1:9" ht="12.75">
      <c r="A470" s="5"/>
      <c r="B470" s="17"/>
      <c r="C470" s="24"/>
      <c r="D470" s="18"/>
      <c r="E470" s="2" t="s">
        <v>14</v>
      </c>
      <c r="F470" s="4">
        <f>AVERAGE(F458:F469)</f>
        <v>0.0022777257168810875</v>
      </c>
      <c r="G470" s="3">
        <f>AVERAGE(G458:G469)</f>
        <v>0.08838929753402525</v>
      </c>
      <c r="H470" s="18"/>
      <c r="I470" s="18"/>
    </row>
    <row r="471" spans="1:9" ht="12.75">
      <c r="A471" s="5"/>
      <c r="B471" s="17"/>
      <c r="C471" s="24"/>
      <c r="D471" s="18"/>
      <c r="E471" s="2"/>
      <c r="F471" s="4"/>
      <c r="G471" s="3"/>
      <c r="H471" s="18"/>
      <c r="I471" s="18"/>
    </row>
    <row r="472" spans="1:9" ht="12.75">
      <c r="A472" s="5" t="s">
        <v>0</v>
      </c>
      <c r="B472" s="5" t="s">
        <v>1</v>
      </c>
      <c r="C472" s="6" t="s">
        <v>15</v>
      </c>
      <c r="D472" s="6" t="s">
        <v>3</v>
      </c>
      <c r="E472" s="6" t="s">
        <v>4</v>
      </c>
      <c r="F472" s="6" t="s">
        <v>5</v>
      </c>
      <c r="G472" s="6" t="s">
        <v>6</v>
      </c>
      <c r="H472" s="6" t="s">
        <v>7</v>
      </c>
      <c r="I472" s="6" t="s">
        <v>8</v>
      </c>
    </row>
    <row r="473" spans="1:9" ht="12.75">
      <c r="A473" s="5" t="s">
        <v>119</v>
      </c>
      <c r="B473" s="5" t="s">
        <v>55</v>
      </c>
      <c r="C473" s="7">
        <f>(3/2)^2*E473</f>
        <v>24.345</v>
      </c>
      <c r="D473" s="6">
        <v>17.95</v>
      </c>
      <c r="E473" s="6">
        <v>10.82</v>
      </c>
      <c r="F473" s="8">
        <f>-((D473-C473)/D473)</f>
        <v>0.3562674094707521</v>
      </c>
      <c r="G473" s="7">
        <f>C473-D473</f>
        <v>6.395</v>
      </c>
      <c r="H473" s="6">
        <v>1100</v>
      </c>
      <c r="I473" s="6" t="s">
        <v>112</v>
      </c>
    </row>
    <row r="474" spans="1:9" ht="12.75">
      <c r="A474" s="5"/>
      <c r="B474" s="5" t="s">
        <v>56</v>
      </c>
      <c r="C474" s="7">
        <f>(3/2)^2*E474</f>
        <v>19.1475</v>
      </c>
      <c r="D474" s="6">
        <v>14.91</v>
      </c>
      <c r="E474" s="6">
        <v>8.51</v>
      </c>
      <c r="F474" s="8">
        <f>-((D474-C474)/D474)</f>
        <v>0.28420523138833004</v>
      </c>
      <c r="G474" s="7">
        <f>C474-D474</f>
        <v>4.237500000000001</v>
      </c>
      <c r="H474" s="6">
        <v>1100</v>
      </c>
      <c r="I474" s="6" t="s">
        <v>112</v>
      </c>
    </row>
    <row r="475" spans="1:9" ht="12.75">
      <c r="A475" s="5"/>
      <c r="B475" s="5" t="s">
        <v>47</v>
      </c>
      <c r="C475" s="7">
        <f>(3/2)^2*E475</f>
        <v>18</v>
      </c>
      <c r="D475" s="6">
        <v>14.33</v>
      </c>
      <c r="E475" s="6">
        <v>8</v>
      </c>
      <c r="F475" s="8">
        <f>-((D475-C475)/D475)</f>
        <v>0.25610607117934403</v>
      </c>
      <c r="G475" s="7">
        <f>C475-D475</f>
        <v>3.67</v>
      </c>
      <c r="H475" s="6">
        <v>1100</v>
      </c>
      <c r="I475" s="6" t="s">
        <v>112</v>
      </c>
    </row>
    <row r="476" spans="1:9" ht="12.75">
      <c r="A476" s="5"/>
      <c r="B476" s="5" t="s">
        <v>103</v>
      </c>
      <c r="C476" s="7">
        <f>(3/2)^2*E476</f>
        <v>24.6375</v>
      </c>
      <c r="D476" s="6">
        <v>18.16</v>
      </c>
      <c r="E476" s="6">
        <v>10.95</v>
      </c>
      <c r="F476" s="8">
        <f>-((D476-C476)/D476)</f>
        <v>0.3566905286343612</v>
      </c>
      <c r="G476" s="7">
        <f>C476-D476</f>
        <v>6.477499999999999</v>
      </c>
      <c r="H476" s="6">
        <v>1100</v>
      </c>
      <c r="I476" s="6" t="s">
        <v>112</v>
      </c>
    </row>
    <row r="477" spans="1:9" ht="12.75">
      <c r="A477" s="5"/>
      <c r="B477" s="5" t="s">
        <v>104</v>
      </c>
      <c r="C477" s="7">
        <f>(3/2)^2*E477</f>
        <v>21.825</v>
      </c>
      <c r="D477" s="6">
        <v>16.65</v>
      </c>
      <c r="E477" s="6">
        <v>9.7</v>
      </c>
      <c r="F477" s="8">
        <f>-((D477-C477)/D477)</f>
        <v>0.31081081081081086</v>
      </c>
      <c r="G477" s="7">
        <f>C477-D477</f>
        <v>5.175000000000001</v>
      </c>
      <c r="H477" s="6">
        <v>1100</v>
      </c>
      <c r="I477" s="6" t="s">
        <v>112</v>
      </c>
    </row>
    <row r="478" spans="1:9" ht="12.75">
      <c r="A478" s="5"/>
      <c r="B478" s="5" t="s">
        <v>105</v>
      </c>
      <c r="C478" s="7">
        <f>(3/2)^2*E478</f>
        <v>19.912499999999998</v>
      </c>
      <c r="D478" s="6">
        <v>15.63</v>
      </c>
      <c r="E478" s="6">
        <v>8.85</v>
      </c>
      <c r="F478" s="8">
        <f>-((D478-C478)/D478)</f>
        <v>0.2739923224568136</v>
      </c>
      <c r="G478" s="7">
        <f>C478-D478</f>
        <v>4.282499999999997</v>
      </c>
      <c r="H478" s="6">
        <v>1100</v>
      </c>
      <c r="I478" s="6" t="s">
        <v>112</v>
      </c>
    </row>
    <row r="479" spans="1:9" ht="12.75">
      <c r="A479" s="5"/>
      <c r="B479" s="5" t="s">
        <v>87</v>
      </c>
      <c r="C479" s="7">
        <f>(3/2)^2*E479</f>
        <v>22.972500000000004</v>
      </c>
      <c r="D479" s="6">
        <v>18.09</v>
      </c>
      <c r="E479" s="6">
        <v>10.21</v>
      </c>
      <c r="F479" s="8">
        <f>-((D479-C479)/D479)</f>
        <v>0.269900497512438</v>
      </c>
      <c r="G479" s="7">
        <f>C479-D479</f>
        <v>4.882500000000004</v>
      </c>
      <c r="H479" s="6">
        <v>1100</v>
      </c>
      <c r="I479" s="6" t="s">
        <v>112</v>
      </c>
    </row>
    <row r="480" spans="1:9" ht="12.75">
      <c r="A480" s="5"/>
      <c r="B480" s="5" t="s">
        <v>83</v>
      </c>
      <c r="C480" s="7">
        <f>(3/2)^2*E480</f>
        <v>23.805</v>
      </c>
      <c r="D480" s="6">
        <v>17.8</v>
      </c>
      <c r="E480" s="6">
        <v>10.58</v>
      </c>
      <c r="F480" s="8">
        <f>-((D480-C480)/D480)</f>
        <v>0.33735955056179767</v>
      </c>
      <c r="G480" s="7">
        <f>C480-D480</f>
        <v>6.004999999999999</v>
      </c>
      <c r="H480" s="6">
        <v>1100</v>
      </c>
      <c r="I480" s="6" t="s">
        <v>112</v>
      </c>
    </row>
    <row r="481" spans="1:9" ht="12.75">
      <c r="A481" s="5"/>
      <c r="B481" s="5" t="s">
        <v>60</v>
      </c>
      <c r="C481" s="7">
        <f>(3/2)^2*E481</f>
        <v>25.065</v>
      </c>
      <c r="D481" s="6">
        <v>19.36</v>
      </c>
      <c r="E481" s="6">
        <v>11.14</v>
      </c>
      <c r="F481" s="8">
        <f>-((D481-C481)/D481)</f>
        <v>0.2946797520661158</v>
      </c>
      <c r="G481" s="7">
        <f>C481-D481</f>
        <v>5.705000000000002</v>
      </c>
      <c r="H481" s="6">
        <v>1100</v>
      </c>
      <c r="I481" s="6" t="s">
        <v>112</v>
      </c>
    </row>
    <row r="482" spans="1:9" ht="12.75">
      <c r="A482" s="5"/>
      <c r="B482" s="5" t="s">
        <v>84</v>
      </c>
      <c r="C482" s="7">
        <f>(3/2)^2*E482</f>
        <v>17.055</v>
      </c>
      <c r="D482" s="6">
        <v>13.67</v>
      </c>
      <c r="E482" s="6">
        <v>7.58</v>
      </c>
      <c r="F482" s="8">
        <f>-((D482-C482)/D482)</f>
        <v>0.24762253108997803</v>
      </c>
      <c r="G482" s="7">
        <f>C482-D482</f>
        <v>3.385</v>
      </c>
      <c r="H482" s="6">
        <v>1100</v>
      </c>
      <c r="I482" s="6" t="s">
        <v>112</v>
      </c>
    </row>
    <row r="483" spans="1:9" ht="12.75">
      <c r="A483" s="5"/>
      <c r="B483" s="5" t="s">
        <v>48</v>
      </c>
      <c r="C483" s="7">
        <f>(3/2)^2*E483</f>
        <v>16.6725</v>
      </c>
      <c r="D483" s="6">
        <v>12.94</v>
      </c>
      <c r="E483" s="6">
        <v>7.41</v>
      </c>
      <c r="F483" s="8">
        <f>-((D483-C483)/D483)</f>
        <v>0.2884466769706337</v>
      </c>
      <c r="G483" s="7">
        <f>C483-D483</f>
        <v>3.7325</v>
      </c>
      <c r="H483" s="6">
        <v>1100</v>
      </c>
      <c r="I483" s="6" t="s">
        <v>112</v>
      </c>
    </row>
    <row r="484" spans="1:9" ht="12.75">
      <c r="A484" s="5"/>
      <c r="B484" s="5" t="s">
        <v>49</v>
      </c>
      <c r="C484" s="7">
        <f>(3/2)^2*E484</f>
        <v>15.727500000000001</v>
      </c>
      <c r="D484" s="6">
        <v>13.23</v>
      </c>
      <c r="E484" s="6">
        <v>6.99</v>
      </c>
      <c r="F484" s="8">
        <f>-((D484-C484)/D484)</f>
        <v>0.18877551020408168</v>
      </c>
      <c r="G484" s="7">
        <f>C484-D484</f>
        <v>2.4975000000000005</v>
      </c>
      <c r="H484" s="6">
        <v>1100</v>
      </c>
      <c r="I484" s="6" t="s">
        <v>112</v>
      </c>
    </row>
    <row r="485" spans="1:9" ht="12.75">
      <c r="A485" s="5"/>
      <c r="B485" s="17"/>
      <c r="C485" s="24"/>
      <c r="D485" s="18"/>
      <c r="E485" s="6" t="s">
        <v>14</v>
      </c>
      <c r="F485" s="8">
        <f>AVERAGE(F473:F484)</f>
        <v>0.28873807436212146</v>
      </c>
      <c r="G485" s="7">
        <f>AVERAGE(G473:G484)</f>
        <v>4.70375</v>
      </c>
      <c r="H485" s="18"/>
      <c r="I485" s="18"/>
    </row>
    <row r="486" spans="1:9" ht="12.75">
      <c r="A486" s="5"/>
      <c r="B486" s="17"/>
      <c r="C486" s="24"/>
      <c r="D486" s="18"/>
      <c r="E486" s="6"/>
      <c r="F486" s="8"/>
      <c r="G486" s="7"/>
      <c r="H486" s="18"/>
      <c r="I486" s="18"/>
    </row>
    <row r="487" spans="1:9" ht="12.75">
      <c r="A487" s="1" t="s">
        <v>0</v>
      </c>
      <c r="B487" s="1" t="s">
        <v>1</v>
      </c>
      <c r="C487" s="2" t="s">
        <v>120</v>
      </c>
      <c r="D487" s="2" t="s">
        <v>3</v>
      </c>
      <c r="E487" s="2" t="s">
        <v>4</v>
      </c>
      <c r="F487" s="2" t="s">
        <v>5</v>
      </c>
      <c r="G487" s="2" t="s">
        <v>6</v>
      </c>
      <c r="H487" s="2" t="s">
        <v>7</v>
      </c>
      <c r="I487" s="2" t="s">
        <v>8</v>
      </c>
    </row>
    <row r="488" spans="1:9" ht="12.75">
      <c r="A488" s="1" t="s">
        <v>121</v>
      </c>
      <c r="B488" s="1" t="s">
        <v>55</v>
      </c>
      <c r="C488" s="3">
        <f>(3/2)^1.36*E488</f>
        <v>13.417252913076542</v>
      </c>
      <c r="D488" s="2">
        <v>13.23</v>
      </c>
      <c r="E488" s="2">
        <v>7.73</v>
      </c>
      <c r="F488" s="4">
        <f>-((D488-C488)/D488)</f>
        <v>0.014153659340630495</v>
      </c>
      <c r="G488" s="3">
        <f>C488-D488</f>
        <v>0.18725291307654146</v>
      </c>
      <c r="H488" s="2">
        <v>950</v>
      </c>
      <c r="I488" s="2" t="s">
        <v>117</v>
      </c>
    </row>
    <row r="489" spans="1:9" ht="12.75">
      <c r="A489" s="1"/>
      <c r="B489" s="1" t="s">
        <v>56</v>
      </c>
      <c r="C489" s="3">
        <f>(3/2)^1.36*E489</f>
        <v>10.501213470131058</v>
      </c>
      <c r="D489" s="2">
        <v>10.66</v>
      </c>
      <c r="E489" s="2">
        <v>6.05</v>
      </c>
      <c r="F489" s="4">
        <f>-((D489-C489)/D489)</f>
        <v>-0.014895546892020882</v>
      </c>
      <c r="G489" s="3">
        <f>C489-D489</f>
        <v>-0.1587865298689426</v>
      </c>
      <c r="H489" s="2">
        <v>950</v>
      </c>
      <c r="I489" s="2" t="s">
        <v>117</v>
      </c>
    </row>
    <row r="490" spans="1:9" ht="12.75">
      <c r="A490" s="1"/>
      <c r="B490" s="1" t="s">
        <v>122</v>
      </c>
      <c r="C490" s="3">
        <f>(3/2)^1.36*E490</f>
        <v>17.704525189311862</v>
      </c>
      <c r="D490" s="2">
        <v>16.41</v>
      </c>
      <c r="E490" s="2">
        <v>10.2</v>
      </c>
      <c r="F490" s="4">
        <f>-((D490-C490)/D490)</f>
        <v>0.07888636132308728</v>
      </c>
      <c r="G490" s="3">
        <f>C490-D490</f>
        <v>1.2945251893118623</v>
      </c>
      <c r="H490" s="2">
        <v>950</v>
      </c>
      <c r="I490" s="2" t="s">
        <v>117</v>
      </c>
    </row>
    <row r="491" spans="1:9" ht="12.75">
      <c r="A491" s="1"/>
      <c r="B491" s="1" t="s">
        <v>97</v>
      </c>
      <c r="C491" s="3">
        <f>(3/2)^1.36*E491</f>
        <v>15.98614480329042</v>
      </c>
      <c r="D491" s="2">
        <v>15.58</v>
      </c>
      <c r="E491" s="2">
        <v>9.21</v>
      </c>
      <c r="F491" s="4">
        <f>-((D491-C491)/D491)</f>
        <v>0.026068344242003865</v>
      </c>
      <c r="G491" s="3">
        <f>C491-D491</f>
        <v>0.40614480329042024</v>
      </c>
      <c r="H491" s="2">
        <v>950</v>
      </c>
      <c r="I491" s="2" t="s">
        <v>117</v>
      </c>
    </row>
    <row r="492" spans="1:9" ht="12.75">
      <c r="A492" s="1"/>
      <c r="B492" s="1" t="s">
        <v>98</v>
      </c>
      <c r="C492" s="3">
        <f>(3/2)^1.36*E492</f>
        <v>13.955331619810527</v>
      </c>
      <c r="D492" s="2">
        <v>14</v>
      </c>
      <c r="E492" s="2">
        <v>8.04</v>
      </c>
      <c r="F492" s="4">
        <f>-((D492-C492)/D492)</f>
        <v>-0.0031905985849623214</v>
      </c>
      <c r="G492" s="3">
        <f>C492-D492</f>
        <v>-0.0446683801894725</v>
      </c>
      <c r="H492" s="2">
        <v>950</v>
      </c>
      <c r="I492" s="2" t="s">
        <v>117</v>
      </c>
    </row>
    <row r="493" spans="1:9" ht="12.75">
      <c r="A493" s="1"/>
      <c r="B493" s="1" t="s">
        <v>99</v>
      </c>
      <c r="C493" s="3">
        <f>(3/2)^1.36*E493</f>
        <v>16.472151377114667</v>
      </c>
      <c r="D493" s="2">
        <v>16.14</v>
      </c>
      <c r="E493" s="2">
        <v>9.49</v>
      </c>
      <c r="F493" s="4">
        <f>-((D493-C493)/D493)</f>
        <v>0.020579391394960733</v>
      </c>
      <c r="G493" s="3">
        <f>C493-D493</f>
        <v>0.33215137711466625</v>
      </c>
      <c r="H493" s="2">
        <v>950</v>
      </c>
      <c r="I493" s="2" t="s">
        <v>117</v>
      </c>
    </row>
    <row r="494" spans="1:9" ht="12.75">
      <c r="A494" s="1"/>
      <c r="B494" s="1" t="s">
        <v>100</v>
      </c>
      <c r="C494" s="3">
        <f>(3/2)^1.36*E494</f>
        <v>13.764400465808146</v>
      </c>
      <c r="D494" s="2">
        <v>14.23</v>
      </c>
      <c r="E494" s="2">
        <v>7.93</v>
      </c>
      <c r="F494" s="4">
        <f>-((D494-C494)/D494)</f>
        <v>-0.03271957373098063</v>
      </c>
      <c r="G494" s="3">
        <f>C494-D494</f>
        <v>-0.4655995341918544</v>
      </c>
      <c r="H494" s="2">
        <v>950</v>
      </c>
      <c r="I494" s="2" t="s">
        <v>117</v>
      </c>
    </row>
    <row r="495" spans="1:9" ht="12.75">
      <c r="A495" s="1"/>
      <c r="B495" s="1" t="s">
        <v>101</v>
      </c>
      <c r="C495" s="3">
        <f>(3/2)^1.36*E495</f>
        <v>18.919541623872483</v>
      </c>
      <c r="D495" s="2">
        <v>17.53</v>
      </c>
      <c r="E495" s="2">
        <v>10.9</v>
      </c>
      <c r="F495" s="4">
        <f>-((D495-C495)/D495)</f>
        <v>0.07926649309027278</v>
      </c>
      <c r="G495" s="3">
        <f>C495-D495</f>
        <v>1.389541623872482</v>
      </c>
      <c r="H495" s="2">
        <v>950</v>
      </c>
      <c r="I495" s="2" t="s">
        <v>117</v>
      </c>
    </row>
    <row r="496" spans="1:9" ht="12.75">
      <c r="A496" s="1"/>
      <c r="B496" s="1" t="s">
        <v>103</v>
      </c>
      <c r="C496" s="3">
        <f>(3/2)^1.36*E496</f>
        <v>13.573469311805765</v>
      </c>
      <c r="D496" s="2">
        <v>13.4</v>
      </c>
      <c r="E496" s="2">
        <v>7.82</v>
      </c>
      <c r="F496" s="4">
        <f>-((D496-C496)/D496)</f>
        <v>0.01294547103028091</v>
      </c>
      <c r="G496" s="3">
        <f>C496-D496</f>
        <v>0.1734693118057642</v>
      </c>
      <c r="H496" s="2">
        <v>950</v>
      </c>
      <c r="I496" s="2" t="s">
        <v>117</v>
      </c>
    </row>
    <row r="497" spans="1:9" ht="12.75">
      <c r="A497" s="1"/>
      <c r="B497" s="1" t="s">
        <v>104</v>
      </c>
      <c r="C497" s="3">
        <f>(3/2)^1.36*E497</f>
        <v>11.924518436330638</v>
      </c>
      <c r="D497" s="2">
        <v>12.02</v>
      </c>
      <c r="E497" s="2">
        <v>6.87</v>
      </c>
      <c r="F497" s="4">
        <f>-((D497-C497)/D497)</f>
        <v>-0.007943557709597449</v>
      </c>
      <c r="G497" s="3">
        <f>C497-D497</f>
        <v>-0.09548156366936134</v>
      </c>
      <c r="H497" s="2">
        <v>950</v>
      </c>
      <c r="I497" s="2" t="s">
        <v>117</v>
      </c>
    </row>
    <row r="498" spans="1:9" ht="12.75">
      <c r="A498" s="1"/>
      <c r="B498" s="1" t="s">
        <v>105</v>
      </c>
      <c r="C498" s="3">
        <f>(3/2)^1.36*E498</f>
        <v>10.69214462413344</v>
      </c>
      <c r="D498" s="2">
        <v>11.11</v>
      </c>
      <c r="E498" s="2">
        <v>6.16</v>
      </c>
      <c r="F498" s="4">
        <f>-((D498-C498)/D498)</f>
        <v>-0.03761074490248053</v>
      </c>
      <c r="G498" s="3">
        <f>C498-D498</f>
        <v>-0.41785537586655863</v>
      </c>
      <c r="H498" s="2">
        <v>950</v>
      </c>
      <c r="I498" s="2" t="s">
        <v>117</v>
      </c>
    </row>
    <row r="499" spans="1:9" ht="12.75">
      <c r="A499" s="1"/>
      <c r="B499" s="1" t="s">
        <v>106</v>
      </c>
      <c r="C499" s="3">
        <f>(3/2)^1.36*E499</f>
        <v>13.538754556532602</v>
      </c>
      <c r="D499" s="2">
        <v>13.89</v>
      </c>
      <c r="E499" s="2">
        <v>7.8</v>
      </c>
      <c r="F499" s="4">
        <f>-((D499-C499)/D499)</f>
        <v>-0.025287648917739262</v>
      </c>
      <c r="G499" s="3">
        <f>C499-D499</f>
        <v>-0.3512454434673984</v>
      </c>
      <c r="H499" s="2">
        <v>950</v>
      </c>
      <c r="I499" s="2" t="s">
        <v>117</v>
      </c>
    </row>
    <row r="500" spans="1:9" ht="12.75">
      <c r="A500" s="1"/>
      <c r="B500" s="1" t="s">
        <v>87</v>
      </c>
      <c r="C500" s="3">
        <f>(3/2)^1.36*E500</f>
        <v>12.479954520701208</v>
      </c>
      <c r="D500" s="2">
        <v>13.09</v>
      </c>
      <c r="E500" s="2">
        <v>7.19</v>
      </c>
      <c r="F500" s="4">
        <f>-((D500-C500)/D500)</f>
        <v>-0.04660393271954104</v>
      </c>
      <c r="G500" s="3">
        <f>C500-D500</f>
        <v>-0.6100454792987922</v>
      </c>
      <c r="H500" s="2">
        <v>950</v>
      </c>
      <c r="I500" s="2" t="s">
        <v>117</v>
      </c>
    </row>
    <row r="501" spans="1:9" ht="12.75">
      <c r="A501" s="1"/>
      <c r="B501" s="1" t="s">
        <v>83</v>
      </c>
      <c r="C501" s="3">
        <f>(3/2)^1.36*E501</f>
        <v>13.174249626164418</v>
      </c>
      <c r="D501" s="2">
        <v>12.92</v>
      </c>
      <c r="E501" s="2">
        <v>7.59</v>
      </c>
      <c r="F501" s="4">
        <f>-((D501-C501)/D501)</f>
        <v>0.01967876363501686</v>
      </c>
      <c r="G501" s="3">
        <f>C501-D501</f>
        <v>0.2542496261644178</v>
      </c>
      <c r="H501" s="2">
        <v>950</v>
      </c>
      <c r="I501" s="2" t="s">
        <v>117</v>
      </c>
    </row>
    <row r="502" spans="1:9" ht="12.75">
      <c r="A502" s="1"/>
      <c r="B502" s="1" t="s">
        <v>84</v>
      </c>
      <c r="C502" s="3">
        <f>(3/2)^1.36*E502</f>
        <v>9.182052769750957</v>
      </c>
      <c r="D502" s="2">
        <v>9.52</v>
      </c>
      <c r="E502" s="2">
        <v>5.29</v>
      </c>
      <c r="F502" s="4">
        <f>-((D502-C502)/D502)</f>
        <v>-0.03549865863960533</v>
      </c>
      <c r="G502" s="3">
        <f>C502-D502</f>
        <v>-0.3379472302490427</v>
      </c>
      <c r="H502" s="2">
        <v>950</v>
      </c>
      <c r="I502" s="2" t="s">
        <v>117</v>
      </c>
    </row>
    <row r="503" spans="1:9" ht="12.75">
      <c r="A503" s="1"/>
      <c r="B503" s="1"/>
      <c r="C503" s="3"/>
      <c r="D503" s="2"/>
      <c r="E503" s="2" t="s">
        <v>14</v>
      </c>
      <c r="F503" s="4">
        <f>AVERAGE(F488:F502)</f>
        <v>0.0031885481306216973</v>
      </c>
      <c r="G503" s="3">
        <f>AVERAGE(G488:G502)</f>
        <v>0.1037136871889821</v>
      </c>
      <c r="H503" s="2"/>
      <c r="I503" s="2"/>
    </row>
    <row r="504" spans="1:9" ht="12.75">
      <c r="A504" s="1"/>
      <c r="B504" s="1"/>
      <c r="C504" s="3"/>
      <c r="D504" s="2"/>
      <c r="E504" s="2"/>
      <c r="F504" s="4"/>
      <c r="G504" s="3"/>
      <c r="H504" s="2"/>
      <c r="I504" s="2"/>
    </row>
    <row r="505" spans="1:9" ht="12.75">
      <c r="A505" s="5" t="s">
        <v>0</v>
      </c>
      <c r="B505" s="5" t="s">
        <v>1</v>
      </c>
      <c r="C505" s="6" t="s">
        <v>15</v>
      </c>
      <c r="D505" s="6" t="s">
        <v>3</v>
      </c>
      <c r="E505" s="6" t="s">
        <v>4</v>
      </c>
      <c r="F505" s="6" t="s">
        <v>5</v>
      </c>
      <c r="G505" s="6" t="s">
        <v>6</v>
      </c>
      <c r="H505" s="6" t="s">
        <v>7</v>
      </c>
      <c r="I505" s="6" t="s">
        <v>8</v>
      </c>
    </row>
    <row r="506" spans="1:9" ht="12.75">
      <c r="A506" s="5" t="s">
        <v>121</v>
      </c>
      <c r="B506" s="5" t="s">
        <v>55</v>
      </c>
      <c r="C506" s="7">
        <f>(3/2)^2*E506</f>
        <v>17.392500000000002</v>
      </c>
      <c r="D506" s="6">
        <v>13.23</v>
      </c>
      <c r="E506" s="6">
        <v>7.73</v>
      </c>
      <c r="F506" s="8">
        <f>-((D506-C506)/D506)</f>
        <v>0.3146258503401361</v>
      </c>
      <c r="G506" s="7">
        <f>C506-D506</f>
        <v>4.162500000000001</v>
      </c>
      <c r="H506" s="6">
        <v>950</v>
      </c>
      <c r="I506" s="6" t="s">
        <v>117</v>
      </c>
    </row>
    <row r="507" spans="1:9" ht="12.75">
      <c r="A507" s="5"/>
      <c r="B507" s="5" t="s">
        <v>56</v>
      </c>
      <c r="C507" s="7">
        <f>(3/2)^2*E507</f>
        <v>13.612499999999999</v>
      </c>
      <c r="D507" s="6">
        <v>10.66</v>
      </c>
      <c r="E507" s="6">
        <v>6.05</v>
      </c>
      <c r="F507" s="8">
        <f>-((D507-C507)/D507)</f>
        <v>0.2769699812382738</v>
      </c>
      <c r="G507" s="7">
        <f>C507-D507</f>
        <v>2.952499999999999</v>
      </c>
      <c r="H507" s="6">
        <v>950</v>
      </c>
      <c r="I507" s="6" t="s">
        <v>117</v>
      </c>
    </row>
    <row r="508" spans="1:9" ht="12.75">
      <c r="A508" s="5"/>
      <c r="B508" s="5" t="s">
        <v>122</v>
      </c>
      <c r="C508" s="7">
        <f>(3/2)^2*E508</f>
        <v>22.95</v>
      </c>
      <c r="D508" s="6">
        <v>16.41</v>
      </c>
      <c r="E508" s="6">
        <v>10.2</v>
      </c>
      <c r="F508" s="8">
        <f>-((D508-C508)/D508)</f>
        <v>0.3985374771480804</v>
      </c>
      <c r="G508" s="7">
        <f>C508-D508</f>
        <v>6.539999999999999</v>
      </c>
      <c r="H508" s="6">
        <v>950</v>
      </c>
      <c r="I508" s="6" t="s">
        <v>117</v>
      </c>
    </row>
    <row r="509" spans="1:9" ht="12.75">
      <c r="A509" s="5"/>
      <c r="B509" s="5" t="s">
        <v>97</v>
      </c>
      <c r="C509" s="7">
        <f>(3/2)^2*E509</f>
        <v>20.722500000000004</v>
      </c>
      <c r="D509" s="6">
        <v>15.58</v>
      </c>
      <c r="E509" s="6">
        <v>9.21</v>
      </c>
      <c r="F509" s="8">
        <f>-((D509-C509)/D509)</f>
        <v>0.33007060333761257</v>
      </c>
      <c r="G509" s="7">
        <f>C509-D509</f>
        <v>5.142500000000004</v>
      </c>
      <c r="H509" s="6">
        <v>950</v>
      </c>
      <c r="I509" s="6" t="s">
        <v>117</v>
      </c>
    </row>
    <row r="510" spans="1:9" ht="12.75">
      <c r="A510" s="5"/>
      <c r="B510" s="5" t="s">
        <v>98</v>
      </c>
      <c r="C510" s="7">
        <f>(3/2)^2*E510</f>
        <v>18.089999999999996</v>
      </c>
      <c r="D510" s="6">
        <v>14</v>
      </c>
      <c r="E510" s="6">
        <v>8.04</v>
      </c>
      <c r="F510" s="8">
        <f>-((D510-C510)/D510)</f>
        <v>0.29214285714285687</v>
      </c>
      <c r="G510" s="7">
        <f>C510-D510</f>
        <v>4.089999999999996</v>
      </c>
      <c r="H510" s="6">
        <v>950</v>
      </c>
      <c r="I510" s="6" t="s">
        <v>117</v>
      </c>
    </row>
    <row r="511" spans="1:9" ht="12.75">
      <c r="A511" s="5"/>
      <c r="B511" s="5" t="s">
        <v>99</v>
      </c>
      <c r="C511" s="7">
        <f>(3/2)^2*E511</f>
        <v>21.3525</v>
      </c>
      <c r="D511" s="6">
        <v>16.14</v>
      </c>
      <c r="E511" s="6">
        <v>9.49</v>
      </c>
      <c r="F511" s="8">
        <f>-((D511-C511)/D511)</f>
        <v>0.3229553903345724</v>
      </c>
      <c r="G511" s="7">
        <f>C511-D511</f>
        <v>5.212499999999999</v>
      </c>
      <c r="H511" s="6">
        <v>950</v>
      </c>
      <c r="I511" s="6" t="s">
        <v>117</v>
      </c>
    </row>
    <row r="512" spans="1:9" ht="12.75">
      <c r="A512" s="5"/>
      <c r="B512" s="5" t="s">
        <v>100</v>
      </c>
      <c r="C512" s="7">
        <f>(3/2)^2*E512</f>
        <v>17.8425</v>
      </c>
      <c r="D512" s="6">
        <v>14.23</v>
      </c>
      <c r="E512" s="6">
        <v>7.93</v>
      </c>
      <c r="F512" s="8">
        <f>-((D512-C512)/D512)</f>
        <v>0.25386507378777234</v>
      </c>
      <c r="G512" s="7">
        <f>C512-D512</f>
        <v>3.6125000000000007</v>
      </c>
      <c r="H512" s="6">
        <v>950</v>
      </c>
      <c r="I512" s="6" t="s">
        <v>117</v>
      </c>
    </row>
    <row r="513" spans="1:9" ht="12.75">
      <c r="A513" s="5"/>
      <c r="B513" s="5" t="s">
        <v>101</v>
      </c>
      <c r="C513" s="7">
        <f>(3/2)^2*E513</f>
        <v>24.525000000000002</v>
      </c>
      <c r="D513" s="6">
        <v>17.53</v>
      </c>
      <c r="E513" s="6">
        <v>10.9</v>
      </c>
      <c r="F513" s="8">
        <f>-((D513-C513)/D513)</f>
        <v>0.399030233884769</v>
      </c>
      <c r="G513" s="7">
        <f>C513-D513</f>
        <v>6.995000000000001</v>
      </c>
      <c r="H513" s="6">
        <v>950</v>
      </c>
      <c r="I513" s="6" t="s">
        <v>117</v>
      </c>
    </row>
    <row r="514" spans="1:9" ht="12.75">
      <c r="A514" s="5"/>
      <c r="B514" s="5" t="s">
        <v>103</v>
      </c>
      <c r="C514" s="7">
        <f>(3/2)^2*E514</f>
        <v>17.595</v>
      </c>
      <c r="D514" s="6">
        <v>13.4</v>
      </c>
      <c r="E514" s="6">
        <v>7.82</v>
      </c>
      <c r="F514" s="8">
        <f>-((D514-C514)/D514)</f>
        <v>0.3130597014925372</v>
      </c>
      <c r="G514" s="7">
        <f>C514-D514</f>
        <v>4.1949999999999985</v>
      </c>
      <c r="H514" s="6">
        <v>950</v>
      </c>
      <c r="I514" s="6" t="s">
        <v>117</v>
      </c>
    </row>
    <row r="515" spans="1:9" ht="12.75">
      <c r="A515" s="5"/>
      <c r="B515" s="5" t="s">
        <v>104</v>
      </c>
      <c r="C515" s="7">
        <f>(3/2)^2*E515</f>
        <v>15.4575</v>
      </c>
      <c r="D515" s="6">
        <v>12.02</v>
      </c>
      <c r="E515" s="6">
        <v>6.87</v>
      </c>
      <c r="F515" s="8">
        <f>-((D515-C515)/D515)</f>
        <v>0.28598169717138106</v>
      </c>
      <c r="G515" s="7">
        <f>C515-D515</f>
        <v>3.4375</v>
      </c>
      <c r="H515" s="6">
        <v>950</v>
      </c>
      <c r="I515" s="6" t="s">
        <v>117</v>
      </c>
    </row>
    <row r="516" spans="1:9" ht="12.75">
      <c r="A516" s="5"/>
      <c r="B516" s="5" t="s">
        <v>105</v>
      </c>
      <c r="C516" s="7">
        <f>(3/2)^2*E516</f>
        <v>13.86</v>
      </c>
      <c r="D516" s="6">
        <v>11.11</v>
      </c>
      <c r="E516" s="6">
        <v>6.16</v>
      </c>
      <c r="F516" s="8">
        <f>-((D516-C516)/D516)</f>
        <v>0.24752475247524755</v>
      </c>
      <c r="G516" s="7">
        <f>C516-D516</f>
        <v>2.75</v>
      </c>
      <c r="H516" s="6">
        <v>950</v>
      </c>
      <c r="I516" s="6" t="s">
        <v>117</v>
      </c>
    </row>
    <row r="517" spans="1:9" ht="12.75">
      <c r="A517" s="5"/>
      <c r="B517" s="5" t="s">
        <v>106</v>
      </c>
      <c r="C517" s="7">
        <f>(3/2)^2*E517</f>
        <v>17.55</v>
      </c>
      <c r="D517" s="6">
        <v>13.89</v>
      </c>
      <c r="E517" s="6">
        <v>7.8</v>
      </c>
      <c r="F517" s="8">
        <f>-((D517-C517)/D517)</f>
        <v>0.2634989200863931</v>
      </c>
      <c r="G517" s="7">
        <f>C517-D517</f>
        <v>3.66</v>
      </c>
      <c r="H517" s="6">
        <v>950</v>
      </c>
      <c r="I517" s="6" t="s">
        <v>117</v>
      </c>
    </row>
    <row r="518" spans="1:9" ht="12.75">
      <c r="A518" s="5"/>
      <c r="B518" s="5" t="s">
        <v>87</v>
      </c>
      <c r="C518" s="7">
        <f>(3/2)^2*E518</f>
        <v>16.177500000000002</v>
      </c>
      <c r="D518" s="6">
        <v>13.09</v>
      </c>
      <c r="E518" s="6">
        <v>7.19</v>
      </c>
      <c r="F518" s="8">
        <f>-((D518-C518)/D518)</f>
        <v>0.23586707410236837</v>
      </c>
      <c r="G518" s="7">
        <f>C518-D518</f>
        <v>3.087500000000002</v>
      </c>
      <c r="H518" s="6">
        <v>950</v>
      </c>
      <c r="I518" s="6" t="s">
        <v>117</v>
      </c>
    </row>
    <row r="519" spans="1:9" ht="12.75">
      <c r="A519" s="5"/>
      <c r="B519" s="5" t="s">
        <v>83</v>
      </c>
      <c r="C519" s="7">
        <f>(3/2)^2*E519</f>
        <v>17.0775</v>
      </c>
      <c r="D519" s="6">
        <v>12.92</v>
      </c>
      <c r="E519" s="6">
        <v>7.59</v>
      </c>
      <c r="F519" s="8">
        <f>-((D519-C519)/D519)</f>
        <v>0.3217879256965945</v>
      </c>
      <c r="G519" s="7">
        <f>C519-D519</f>
        <v>4.157500000000001</v>
      </c>
      <c r="H519" s="6">
        <v>950</v>
      </c>
      <c r="I519" s="6" t="s">
        <v>117</v>
      </c>
    </row>
    <row r="520" spans="1:9" ht="12.75">
      <c r="A520" s="5"/>
      <c r="B520" s="5" t="s">
        <v>84</v>
      </c>
      <c r="C520" s="7">
        <f>(3/2)^2*E520</f>
        <v>11.9025</v>
      </c>
      <c r="D520" s="6">
        <v>9.52</v>
      </c>
      <c r="E520" s="6">
        <v>5.29</v>
      </c>
      <c r="F520" s="8">
        <f>-((D520-C520)/D520)</f>
        <v>0.25026260504201686</v>
      </c>
      <c r="G520" s="7">
        <f>C520-D520</f>
        <v>2.3825000000000003</v>
      </c>
      <c r="H520" s="6">
        <v>950</v>
      </c>
      <c r="I520" s="6" t="s">
        <v>117</v>
      </c>
    </row>
    <row r="521" spans="1:9" ht="12.75">
      <c r="A521" s="5"/>
      <c r="B521" s="5"/>
      <c r="C521" s="7"/>
      <c r="D521" s="6"/>
      <c r="E521" s="6" t="s">
        <v>14</v>
      </c>
      <c r="F521" s="8">
        <f>AVERAGE(F506:F520)</f>
        <v>0.30041200955204084</v>
      </c>
      <c r="G521" s="7">
        <f>AVERAGE(G506:G520)</f>
        <v>4.158500000000001</v>
      </c>
      <c r="H521" s="6"/>
      <c r="I521" s="6"/>
    </row>
    <row r="523" spans="1:9" ht="12.75">
      <c r="A523" s="20" t="s">
        <v>0</v>
      </c>
      <c r="B523" s="20" t="s">
        <v>1</v>
      </c>
      <c r="C523" s="16" t="s">
        <v>123</v>
      </c>
      <c r="D523" s="16" t="s">
        <v>73</v>
      </c>
      <c r="E523" s="16" t="s">
        <v>3</v>
      </c>
      <c r="F523" s="16" t="s">
        <v>5</v>
      </c>
      <c r="G523" s="16" t="s">
        <v>6</v>
      </c>
      <c r="H523" s="16" t="s">
        <v>7</v>
      </c>
      <c r="I523" s="16" t="s">
        <v>8</v>
      </c>
    </row>
    <row r="524" spans="1:9" ht="12.75">
      <c r="A524" s="20" t="s">
        <v>121</v>
      </c>
      <c r="B524" s="20" t="s">
        <v>56</v>
      </c>
      <c r="C524" s="21">
        <f>(4/3)^1.44*E524</f>
        <v>16.131285788564398</v>
      </c>
      <c r="D524" s="16">
        <v>15.62</v>
      </c>
      <c r="E524" s="16">
        <v>10.66</v>
      </c>
      <c r="F524" s="22">
        <f>-((D524-C524)/D524)</f>
        <v>0.032732764952906446</v>
      </c>
      <c r="G524" s="21">
        <f>C524-D524</f>
        <v>0.5112857885643987</v>
      </c>
      <c r="H524" s="16">
        <v>950</v>
      </c>
      <c r="I524" s="16" t="s">
        <v>117</v>
      </c>
    </row>
    <row r="525" spans="2:9" ht="12.75">
      <c r="B525" s="15" t="s">
        <v>47</v>
      </c>
      <c r="C525" s="21">
        <f>(4/3)^1.44*E525</f>
        <v>15.253598569299166</v>
      </c>
      <c r="D525" s="16">
        <v>14.89</v>
      </c>
      <c r="E525" s="16">
        <v>10.08</v>
      </c>
      <c r="F525" s="22">
        <f>-((D525-C525)/D525)</f>
        <v>0.02441897711881569</v>
      </c>
      <c r="G525" s="21">
        <f>C525-D525</f>
        <v>0.3635985692991657</v>
      </c>
      <c r="H525" s="16">
        <v>950</v>
      </c>
      <c r="I525" s="16" t="s">
        <v>117</v>
      </c>
    </row>
    <row r="526" spans="2:9" ht="12.75">
      <c r="B526" s="15" t="s">
        <v>25</v>
      </c>
      <c r="C526" s="21">
        <f>(4/3)^1.44*E526</f>
        <v>12.333018684502798</v>
      </c>
      <c r="D526" s="16">
        <v>12.47</v>
      </c>
      <c r="E526" s="16">
        <v>8.15</v>
      </c>
      <c r="F526" s="22">
        <f>-((D526-C526)/D526)</f>
        <v>-0.010984868925196645</v>
      </c>
      <c r="G526" s="21">
        <f>C526-D526</f>
        <v>-0.13698131549720216</v>
      </c>
      <c r="H526" s="16">
        <v>950</v>
      </c>
      <c r="I526" s="16" t="s">
        <v>117</v>
      </c>
    </row>
    <row r="527" spans="2:9" ht="12.75">
      <c r="B527" s="20" t="s">
        <v>27</v>
      </c>
      <c r="C527" s="21">
        <f>(4/3)^1.44*E527</f>
        <v>8.761739654389105</v>
      </c>
      <c r="D527" s="16">
        <v>9.14</v>
      </c>
      <c r="E527" s="16">
        <v>5.79</v>
      </c>
      <c r="F527" s="22">
        <f>-((D527-C527)/D527)</f>
        <v>-0.041385158163117663</v>
      </c>
      <c r="G527" s="21">
        <f>C527-D527</f>
        <v>-0.3782603456108955</v>
      </c>
      <c r="H527" s="16">
        <v>950</v>
      </c>
      <c r="I527" s="16" t="s">
        <v>117</v>
      </c>
    </row>
    <row r="528" spans="2:9" ht="12.75">
      <c r="B528" s="20" t="s">
        <v>40</v>
      </c>
      <c r="C528" s="21">
        <f>(4/3)^1.44*E528</f>
        <v>7.23335328980655</v>
      </c>
      <c r="D528" s="16">
        <v>7.51</v>
      </c>
      <c r="E528" s="16">
        <v>4.78</v>
      </c>
      <c r="F528" s="22">
        <f>-((D528-C528)/D528)</f>
        <v>-0.03683711187662453</v>
      </c>
      <c r="G528" s="21">
        <f>C528-D528</f>
        <v>-0.2766467101934502</v>
      </c>
      <c r="H528" s="16">
        <v>950</v>
      </c>
      <c r="I528" s="16" t="s">
        <v>117</v>
      </c>
    </row>
    <row r="529" spans="2:9" ht="12.75">
      <c r="B529" s="20" t="s">
        <v>105</v>
      </c>
      <c r="C529" s="21">
        <f>(4/3)^1.44*E529</f>
        <v>16.812250010408107</v>
      </c>
      <c r="D529" s="16">
        <v>16.43</v>
      </c>
      <c r="E529" s="16">
        <v>11.11</v>
      </c>
      <c r="F529" s="22">
        <f>-((D529-C529)/D529)</f>
        <v>0.023265368862331545</v>
      </c>
      <c r="G529" s="21">
        <f>C529-D529</f>
        <v>0.38225001040810724</v>
      </c>
      <c r="H529" s="16">
        <v>950</v>
      </c>
      <c r="I529" s="16" t="s">
        <v>117</v>
      </c>
    </row>
    <row r="530" spans="2:9" ht="12.75">
      <c r="B530" s="20" t="s">
        <v>84</v>
      </c>
      <c r="C530" s="21">
        <f>(4/3)^1.44*E530</f>
        <v>14.406176426560323</v>
      </c>
      <c r="D530" s="16">
        <v>14.27</v>
      </c>
      <c r="E530" s="16">
        <v>9.52</v>
      </c>
      <c r="F530" s="22">
        <f>-((D530-C530)/D530)</f>
        <v>0.00954284699091267</v>
      </c>
      <c r="G530" s="21">
        <f>C530-D530</f>
        <v>0.1361764265603238</v>
      </c>
      <c r="H530" s="16">
        <v>950</v>
      </c>
      <c r="I530" s="16" t="s">
        <v>117</v>
      </c>
    </row>
    <row r="531" spans="2:9" ht="12.75">
      <c r="B531" s="20" t="s">
        <v>71</v>
      </c>
      <c r="C531" s="21">
        <f>(4/3)^1.44*E531</f>
        <v>12.59027183497709</v>
      </c>
      <c r="D531" s="16">
        <v>12.74</v>
      </c>
      <c r="E531" s="16">
        <v>8.32</v>
      </c>
      <c r="F531" s="22">
        <f>-((D531-C531)/D531)</f>
        <v>-0.011752603220008677</v>
      </c>
      <c r="G531" s="21">
        <f>C531-D531</f>
        <v>-0.14972816502291053</v>
      </c>
      <c r="H531" s="16">
        <v>950</v>
      </c>
      <c r="I531" s="16" t="s">
        <v>117</v>
      </c>
    </row>
    <row r="532" spans="2:9" ht="12.75">
      <c r="B532" s="20" t="s">
        <v>50</v>
      </c>
      <c r="C532" s="21">
        <f>(4/3)^1.44*E532</f>
        <v>17.09976823740879</v>
      </c>
      <c r="D532" s="16">
        <v>16.53</v>
      </c>
      <c r="E532" s="16">
        <v>11.3</v>
      </c>
      <c r="F532" s="22">
        <f>-((D532-C532)/D532)</f>
        <v>0.034468737895268456</v>
      </c>
      <c r="G532" s="21">
        <f>C532-D532</f>
        <v>0.5697682374087876</v>
      </c>
      <c r="H532" s="16">
        <v>950</v>
      </c>
      <c r="I532" s="16" t="s">
        <v>117</v>
      </c>
    </row>
    <row r="533" spans="2:9" ht="12.75">
      <c r="B533" s="20" t="s">
        <v>52</v>
      </c>
      <c r="C533" s="21">
        <f>(4/3)^1.44*E533</f>
        <v>13.5133566690319</v>
      </c>
      <c r="D533" s="16">
        <v>13.29</v>
      </c>
      <c r="E533" s="16">
        <v>8.93</v>
      </c>
      <c r="F533" s="22">
        <f>-((D533-C533)/D533)</f>
        <v>0.016806370882761542</v>
      </c>
      <c r="G533" s="21">
        <f>C533-D533</f>
        <v>0.22335666903190088</v>
      </c>
      <c r="H533" s="16">
        <v>950</v>
      </c>
      <c r="I533" s="16" t="s">
        <v>117</v>
      </c>
    </row>
    <row r="534" spans="2:9" ht="12.75">
      <c r="B534" s="20" t="s">
        <v>51</v>
      </c>
      <c r="C534" s="21">
        <f>(4/3)^1.44*E534</f>
        <v>9.140053110968946</v>
      </c>
      <c r="D534" s="16">
        <v>9.46</v>
      </c>
      <c r="E534" s="16">
        <v>6.04</v>
      </c>
      <c r="F534" s="22">
        <f>-((D534-C534)/D534)</f>
        <v>-0.03382102421047091</v>
      </c>
      <c r="G534" s="21">
        <f>C534-D534</f>
        <v>-0.31994688903105484</v>
      </c>
      <c r="H534" s="16">
        <v>950</v>
      </c>
      <c r="I534" s="16" t="s">
        <v>117</v>
      </c>
    </row>
    <row r="535" spans="1:9" ht="12.75">
      <c r="A535" s="5"/>
      <c r="B535" s="17"/>
      <c r="C535" s="24"/>
      <c r="D535" s="18"/>
      <c r="E535" s="16" t="s">
        <v>14</v>
      </c>
      <c r="F535" s="22">
        <f>AVERAGE(F524:F534)</f>
        <v>0.0005867545734161747</v>
      </c>
      <c r="G535" s="21">
        <f>AVERAGE(G524:G534)</f>
        <v>0.08407929781065188</v>
      </c>
      <c r="H535" s="18"/>
      <c r="I535" s="18"/>
    </row>
    <row r="536" spans="1:9" ht="12.75">
      <c r="A536" s="5"/>
      <c r="B536" s="17"/>
      <c r="C536" s="24"/>
      <c r="D536" s="18"/>
      <c r="E536" s="16"/>
      <c r="F536" s="22"/>
      <c r="G536" s="21"/>
      <c r="H536" s="18"/>
      <c r="I536" s="18"/>
    </row>
    <row r="537" spans="1:9" ht="12.75">
      <c r="A537" s="23" t="s">
        <v>0</v>
      </c>
      <c r="B537" s="23" t="s">
        <v>1</v>
      </c>
      <c r="C537" s="18" t="s">
        <v>74</v>
      </c>
      <c r="D537" s="18" t="s">
        <v>73</v>
      </c>
      <c r="E537" s="18" t="s">
        <v>3</v>
      </c>
      <c r="F537" s="18" t="s">
        <v>5</v>
      </c>
      <c r="G537" s="18" t="s">
        <v>6</v>
      </c>
      <c r="H537" s="18" t="s">
        <v>7</v>
      </c>
      <c r="I537" s="18" t="s">
        <v>8</v>
      </c>
    </row>
    <row r="538" spans="1:9" ht="12.75">
      <c r="A538" s="23" t="s">
        <v>121</v>
      </c>
      <c r="B538" s="23" t="s">
        <v>56</v>
      </c>
      <c r="C538" s="24">
        <f>(4/3)^2*E538</f>
        <v>18.95111111111111</v>
      </c>
      <c r="D538" s="18">
        <v>15.62</v>
      </c>
      <c r="E538" s="18">
        <v>10.66</v>
      </c>
      <c r="F538" s="25">
        <f>-((D538-C538)/D538)</f>
        <v>0.21325935410442456</v>
      </c>
      <c r="G538" s="24">
        <f>C538-D538</f>
        <v>3.3311111111111114</v>
      </c>
      <c r="H538" s="18">
        <v>950</v>
      </c>
      <c r="I538" s="18" t="s">
        <v>117</v>
      </c>
    </row>
    <row r="539" spans="1:9" ht="12.75">
      <c r="A539" s="5"/>
      <c r="B539" s="17" t="s">
        <v>47</v>
      </c>
      <c r="C539" s="24">
        <f>(4/3)^2*E539</f>
        <v>17.919999999999998</v>
      </c>
      <c r="D539" s="18">
        <v>14.89</v>
      </c>
      <c r="E539" s="18">
        <v>10.08</v>
      </c>
      <c r="F539" s="25">
        <f>-((D539-C539)/D539)</f>
        <v>0.2034922766957688</v>
      </c>
      <c r="G539" s="24">
        <f>C539-D539</f>
        <v>3.0299999999999976</v>
      </c>
      <c r="H539" s="18">
        <v>950</v>
      </c>
      <c r="I539" s="18" t="s">
        <v>117</v>
      </c>
    </row>
    <row r="540" spans="1:9" ht="12.75">
      <c r="A540" s="5"/>
      <c r="B540" s="17" t="s">
        <v>25</v>
      </c>
      <c r="C540" s="24">
        <f>(4/3)^2*E540</f>
        <v>14.488888888888889</v>
      </c>
      <c r="D540" s="18">
        <v>12.47</v>
      </c>
      <c r="E540" s="18">
        <v>8.15</v>
      </c>
      <c r="F540" s="25">
        <f>-((D540-C540)/D540)</f>
        <v>0.16189967031987876</v>
      </c>
      <c r="G540" s="24">
        <f>C540-D540</f>
        <v>2.0188888888888883</v>
      </c>
      <c r="H540" s="18">
        <v>950</v>
      </c>
      <c r="I540" s="18" t="s">
        <v>117</v>
      </c>
    </row>
    <row r="541" spans="1:9" ht="12.75">
      <c r="A541" s="5"/>
      <c r="B541" s="23" t="s">
        <v>27</v>
      </c>
      <c r="C541" s="24">
        <f>(4/3)^2*E541</f>
        <v>10.293333333333333</v>
      </c>
      <c r="D541" s="18">
        <v>9.14</v>
      </c>
      <c r="E541" s="18">
        <v>5.79</v>
      </c>
      <c r="F541" s="25">
        <f>-((D541-C541)/D541)</f>
        <v>0.12618526622902979</v>
      </c>
      <c r="G541" s="24">
        <f>C541-D541</f>
        <v>1.1533333333333324</v>
      </c>
      <c r="H541" s="18">
        <v>950</v>
      </c>
      <c r="I541" s="18" t="s">
        <v>117</v>
      </c>
    </row>
    <row r="542" spans="1:9" ht="12.75">
      <c r="A542" s="5"/>
      <c r="B542" s="23" t="s">
        <v>40</v>
      </c>
      <c r="C542" s="24">
        <f>(4/3)^2*E542</f>
        <v>8.497777777777777</v>
      </c>
      <c r="D542" s="18">
        <v>7.51</v>
      </c>
      <c r="E542" s="18">
        <v>4.78</v>
      </c>
      <c r="F542" s="25">
        <f>-((D542-C542)/D542)</f>
        <v>0.1315283325935789</v>
      </c>
      <c r="G542" s="24">
        <f>C542-D542</f>
        <v>0.9877777777777776</v>
      </c>
      <c r="H542" s="18">
        <v>950</v>
      </c>
      <c r="I542" s="18" t="s">
        <v>117</v>
      </c>
    </row>
    <row r="543" spans="1:9" ht="12.75">
      <c r="A543" s="5"/>
      <c r="B543" s="23" t="s">
        <v>105</v>
      </c>
      <c r="C543" s="24">
        <f>(4/3)^2*E543</f>
        <v>19.751111111111108</v>
      </c>
      <c r="D543" s="18">
        <v>16.43</v>
      </c>
      <c r="E543" s="18">
        <v>11.11</v>
      </c>
      <c r="F543" s="25">
        <f>-((D543-C543)/D543)</f>
        <v>0.2021370122404813</v>
      </c>
      <c r="G543" s="24">
        <f>C543-D543</f>
        <v>3.321111111111108</v>
      </c>
      <c r="H543" s="18">
        <v>950</v>
      </c>
      <c r="I543" s="18" t="s">
        <v>117</v>
      </c>
    </row>
    <row r="544" spans="1:9" ht="12.75">
      <c r="A544" s="5"/>
      <c r="B544" s="23" t="s">
        <v>84</v>
      </c>
      <c r="C544" s="24">
        <f>(4/3)^2*E544</f>
        <v>16.924444444444443</v>
      </c>
      <c r="D544" s="18">
        <v>14.27</v>
      </c>
      <c r="E544" s="18">
        <v>9.52</v>
      </c>
      <c r="F544" s="25">
        <f>-((D544-C544)/D544)</f>
        <v>0.18601572841236466</v>
      </c>
      <c r="G544" s="24">
        <f>C544-D544</f>
        <v>2.6544444444444437</v>
      </c>
      <c r="H544" s="18">
        <v>950</v>
      </c>
      <c r="I544" s="18" t="s">
        <v>117</v>
      </c>
    </row>
    <row r="545" spans="1:9" ht="12.75">
      <c r="A545" s="5"/>
      <c r="B545" s="23" t="s">
        <v>71</v>
      </c>
      <c r="C545" s="24">
        <f>(4/3)^2*E545</f>
        <v>14.79111111111111</v>
      </c>
      <c r="D545" s="18">
        <v>12.74</v>
      </c>
      <c r="E545" s="18">
        <v>8.32</v>
      </c>
      <c r="F545" s="25">
        <f>-((D545-C545)/D545)</f>
        <v>0.16099773242630377</v>
      </c>
      <c r="G545" s="24">
        <f>C545-D545</f>
        <v>2.05111111111111</v>
      </c>
      <c r="H545" s="18">
        <v>950</v>
      </c>
      <c r="I545" s="18" t="s">
        <v>117</v>
      </c>
    </row>
    <row r="546" spans="1:9" ht="12.75">
      <c r="A546" s="5"/>
      <c r="B546" s="23" t="s">
        <v>50</v>
      </c>
      <c r="C546" s="24">
        <f>(4/3)^2*E546</f>
        <v>20.08888888888889</v>
      </c>
      <c r="D546" s="18">
        <v>16.53</v>
      </c>
      <c r="E546" s="18">
        <v>11.3</v>
      </c>
      <c r="F546" s="25">
        <f>-((D546-C546)/D546)</f>
        <v>0.21529878335685948</v>
      </c>
      <c r="G546" s="24">
        <f>C546-D546</f>
        <v>3.5588888888888874</v>
      </c>
      <c r="H546" s="18">
        <v>950</v>
      </c>
      <c r="I546" s="18" t="s">
        <v>117</v>
      </c>
    </row>
    <row r="547" spans="1:9" ht="12.75">
      <c r="A547" s="5"/>
      <c r="B547" s="23" t="s">
        <v>52</v>
      </c>
      <c r="C547" s="24">
        <f>(4/3)^2*E547</f>
        <v>15.875555555555554</v>
      </c>
      <c r="D547" s="18">
        <v>13.29</v>
      </c>
      <c r="E547" s="18">
        <v>8.93</v>
      </c>
      <c r="F547" s="25">
        <f>-((D547-C547)/D547)</f>
        <v>0.19454895075662565</v>
      </c>
      <c r="G547" s="24">
        <f>C547-D547</f>
        <v>2.5855555555555547</v>
      </c>
      <c r="H547" s="18">
        <v>950</v>
      </c>
      <c r="I547" s="18" t="s">
        <v>117</v>
      </c>
    </row>
    <row r="548" spans="1:9" ht="12.75">
      <c r="A548" s="5"/>
      <c r="B548" s="23" t="s">
        <v>51</v>
      </c>
      <c r="C548" s="24">
        <f>(4/3)^2*E548</f>
        <v>10.737777777777778</v>
      </c>
      <c r="D548" s="18">
        <v>9.46</v>
      </c>
      <c r="E548" s="18">
        <v>6.04</v>
      </c>
      <c r="F548" s="25">
        <f>-((D548-C548)/D548)</f>
        <v>0.13507164669955357</v>
      </c>
      <c r="G548" s="24">
        <f>C548-D548</f>
        <v>1.2777777777777768</v>
      </c>
      <c r="H548" s="18">
        <v>950</v>
      </c>
      <c r="I548" s="18" t="s">
        <v>117</v>
      </c>
    </row>
    <row r="549" spans="1:9" ht="12.75">
      <c r="A549" s="5"/>
      <c r="B549" s="17"/>
      <c r="C549" s="24"/>
      <c r="D549" s="18"/>
      <c r="E549" s="18" t="s">
        <v>14</v>
      </c>
      <c r="F549" s="25">
        <f>AVERAGE(F538:F548)</f>
        <v>0.17549406853044267</v>
      </c>
      <c r="G549" s="24">
        <f>AVERAGE(G538:G548)</f>
        <v>2.36090909090909</v>
      </c>
      <c r="H549" s="18"/>
      <c r="I549" s="18"/>
    </row>
    <row r="550" spans="1:9" ht="12.75">
      <c r="A550" s="5"/>
      <c r="B550" s="17"/>
      <c r="C550" s="24"/>
      <c r="D550" s="18"/>
      <c r="E550" s="18"/>
      <c r="F550" s="25"/>
      <c r="G550" s="24"/>
      <c r="H550" s="18"/>
      <c r="I550" s="18"/>
    </row>
    <row r="551" spans="1:9" ht="12.75">
      <c r="A551" s="1" t="s">
        <v>0</v>
      </c>
      <c r="B551" s="1" t="s">
        <v>1</v>
      </c>
      <c r="C551" s="1" t="s">
        <v>61</v>
      </c>
      <c r="D551" s="2" t="s">
        <v>3</v>
      </c>
      <c r="E551" s="2" t="s">
        <v>4</v>
      </c>
      <c r="F551" s="2" t="s">
        <v>5</v>
      </c>
      <c r="G551" s="2" t="s">
        <v>6</v>
      </c>
      <c r="H551" s="2" t="s">
        <v>7</v>
      </c>
      <c r="I551" s="2" t="s">
        <v>8</v>
      </c>
    </row>
    <row r="552" spans="1:9" ht="12.75">
      <c r="A552" s="1" t="s">
        <v>124</v>
      </c>
      <c r="B552" s="1" t="s">
        <v>35</v>
      </c>
      <c r="C552" s="3">
        <f>(3/2)^1.49*E552</f>
        <v>25.084961035980683</v>
      </c>
      <c r="D552" s="2">
        <v>25.64</v>
      </c>
      <c r="E552" s="2">
        <v>13.71</v>
      </c>
      <c r="F552" s="4">
        <f>-((D552-C552)/D552)</f>
        <v>-0.021647385492173064</v>
      </c>
      <c r="G552" s="3">
        <f>C552-D552</f>
        <v>-0.5550389640193174</v>
      </c>
      <c r="H552" s="2">
        <v>1810</v>
      </c>
      <c r="I552" s="2" t="s">
        <v>125</v>
      </c>
    </row>
    <row r="553" spans="1:9" ht="12.75">
      <c r="A553" s="1"/>
      <c r="B553" s="1" t="s">
        <v>22</v>
      </c>
      <c r="C553" s="3">
        <f>(3/2)^1.49*E553</f>
        <v>21.480484504917083</v>
      </c>
      <c r="D553" s="2">
        <v>20.91</v>
      </c>
      <c r="E553" s="2">
        <v>11.74</v>
      </c>
      <c r="F553" s="4">
        <f>-((D553-C553)/D553)</f>
        <v>0.02728285532841142</v>
      </c>
      <c r="G553" s="3">
        <f>C553-D553</f>
        <v>0.5704845049170828</v>
      </c>
      <c r="H553" s="2">
        <v>1810</v>
      </c>
      <c r="I553" s="2" t="s">
        <v>125</v>
      </c>
    </row>
    <row r="554" spans="1:9" ht="12.75">
      <c r="A554" s="1"/>
      <c r="B554" s="1"/>
      <c r="C554" s="3"/>
      <c r="D554" s="2"/>
      <c r="E554" s="2" t="s">
        <v>14</v>
      </c>
      <c r="F554" s="4">
        <f>AVERAGE(F552:F553)</f>
        <v>0.0028177349181191785</v>
      </c>
      <c r="G554" s="3">
        <f>AVERAGE(G552:G553)</f>
        <v>0.007722770448882699</v>
      </c>
      <c r="H554" s="2"/>
      <c r="I554" s="2"/>
    </row>
    <row r="555" spans="1:9" ht="12.75">
      <c r="A555" s="5"/>
      <c r="B555" s="17"/>
      <c r="C555" s="24"/>
      <c r="D555" s="18"/>
      <c r="E555" s="18"/>
      <c r="F555" s="25"/>
      <c r="G555" s="24"/>
      <c r="H555" s="18"/>
      <c r="I555" s="18"/>
    </row>
    <row r="556" spans="1:9" ht="12.75">
      <c r="A556" s="5" t="s">
        <v>0</v>
      </c>
      <c r="B556" s="5" t="s">
        <v>1</v>
      </c>
      <c r="C556" s="5" t="s">
        <v>15</v>
      </c>
      <c r="D556" s="6" t="s">
        <v>3</v>
      </c>
      <c r="E556" s="6" t="s">
        <v>4</v>
      </c>
      <c r="F556" s="6" t="s">
        <v>5</v>
      </c>
      <c r="G556" s="6" t="s">
        <v>6</v>
      </c>
      <c r="H556" s="6" t="s">
        <v>7</v>
      </c>
      <c r="I556" s="6" t="s">
        <v>8</v>
      </c>
    </row>
    <row r="557" spans="1:9" ht="12.75">
      <c r="A557" s="5" t="s">
        <v>124</v>
      </c>
      <c r="B557" s="5" t="s">
        <v>35</v>
      </c>
      <c r="C557" s="7">
        <f>(3/2)^2*E557</f>
        <v>30.847500000000004</v>
      </c>
      <c r="D557" s="6">
        <v>25.64</v>
      </c>
      <c r="E557" s="6">
        <v>13.71</v>
      </c>
      <c r="F557" s="8">
        <f>-((D557-C557)/D557)</f>
        <v>0.20310062402496112</v>
      </c>
      <c r="G557" s="7">
        <f>C557-D557</f>
        <v>5.207500000000003</v>
      </c>
      <c r="H557" s="6">
        <v>1810</v>
      </c>
      <c r="I557" s="6" t="s">
        <v>125</v>
      </c>
    </row>
    <row r="558" spans="1:9" ht="12.75">
      <c r="A558" s="5"/>
      <c r="B558" s="5" t="s">
        <v>22</v>
      </c>
      <c r="C558" s="7">
        <f>(3/2)^2*E558</f>
        <v>26.415</v>
      </c>
      <c r="D558" s="6">
        <v>20.91</v>
      </c>
      <c r="E558" s="6">
        <v>11.74</v>
      </c>
      <c r="F558" s="8">
        <f>-((D558-C558)/D558)</f>
        <v>0.2632711621233859</v>
      </c>
      <c r="G558" s="7">
        <f>C558-D558</f>
        <v>5.504999999999999</v>
      </c>
      <c r="H558" s="6">
        <v>1810</v>
      </c>
      <c r="I558" s="6" t="s">
        <v>125</v>
      </c>
    </row>
    <row r="559" spans="1:9" ht="12.75">
      <c r="A559" s="5"/>
      <c r="B559" s="5"/>
      <c r="C559" s="7"/>
      <c r="D559" s="6"/>
      <c r="E559" s="6" t="s">
        <v>14</v>
      </c>
      <c r="F559" s="8">
        <f>AVERAGE(F557:F558)</f>
        <v>0.23318589307417353</v>
      </c>
      <c r="G559" s="7">
        <f>AVERAGE(G557:G558)</f>
        <v>5.356250000000001</v>
      </c>
      <c r="H559" s="6"/>
      <c r="I559" s="6"/>
    </row>
    <row r="560" spans="1:9" ht="12.75">
      <c r="A560" s="5"/>
      <c r="B560" s="17"/>
      <c r="C560" s="24"/>
      <c r="D560" s="18"/>
      <c r="E560" s="18"/>
      <c r="F560" s="25"/>
      <c r="G560" s="24"/>
      <c r="H560" s="18"/>
      <c r="I560" s="18"/>
    </row>
    <row r="561" spans="1:9" ht="12.75">
      <c r="A561" s="1" t="s">
        <v>0</v>
      </c>
      <c r="B561" s="1" t="s">
        <v>1</v>
      </c>
      <c r="C561" s="1" t="s">
        <v>68</v>
      </c>
      <c r="D561" s="2" t="s">
        <v>3</v>
      </c>
      <c r="E561" s="2" t="s">
        <v>4</v>
      </c>
      <c r="F561" s="2" t="s">
        <v>5</v>
      </c>
      <c r="G561" s="2" t="s">
        <v>6</v>
      </c>
      <c r="H561" s="2" t="s">
        <v>7</v>
      </c>
      <c r="I561" s="2" t="s">
        <v>8</v>
      </c>
    </row>
    <row r="562" spans="1:9" ht="12.75">
      <c r="A562" s="1" t="s">
        <v>126</v>
      </c>
      <c r="B562" s="1" t="s">
        <v>44</v>
      </c>
      <c r="C562" s="3">
        <f>(3/2)^1.35*E562</f>
        <v>24.565028800868404</v>
      </c>
      <c r="D562" s="2">
        <v>23.38</v>
      </c>
      <c r="E562" s="2">
        <v>14.21</v>
      </c>
      <c r="F562" s="4">
        <f>-((D562-C562)/D562)</f>
        <v>0.050685577453738466</v>
      </c>
      <c r="G562" s="3">
        <f>C562-D562</f>
        <v>1.1850288008684053</v>
      </c>
      <c r="H562" s="2">
        <v>1127</v>
      </c>
      <c r="I562" s="2" t="s">
        <v>125</v>
      </c>
    </row>
    <row r="563" spans="1:9" ht="12.75">
      <c r="A563" s="1"/>
      <c r="B563" s="1" t="s">
        <v>46</v>
      </c>
      <c r="C563" s="3">
        <f>(3/2)^1.35*E563</f>
        <v>17.71932056361021</v>
      </c>
      <c r="D563" s="2">
        <v>17.63</v>
      </c>
      <c r="E563" s="2">
        <v>10.25</v>
      </c>
      <c r="F563" s="4">
        <f>-((D563-C563)/D563)</f>
        <v>0.0050663961208287965</v>
      </c>
      <c r="G563" s="3">
        <f>C563-D563</f>
        <v>0.08932056361021168</v>
      </c>
      <c r="H563" s="2">
        <v>1127</v>
      </c>
      <c r="I563" s="2" t="s">
        <v>125</v>
      </c>
    </row>
    <row r="564" spans="1:9" ht="12.75">
      <c r="A564" s="1"/>
      <c r="B564" s="1" t="s">
        <v>39</v>
      </c>
      <c r="C564" s="3">
        <f>(3/2)^1.35*E564</f>
        <v>9.940106657634997</v>
      </c>
      <c r="D564" s="2">
        <v>10.15</v>
      </c>
      <c r="E564" s="2">
        <v>5.75</v>
      </c>
      <c r="F564" s="4">
        <f>-((D564-C564)/D564)</f>
        <v>-0.02067914703103479</v>
      </c>
      <c r="G564" s="3">
        <f>C564-D564</f>
        <v>-0.20989334236500312</v>
      </c>
      <c r="H564" s="2">
        <v>1127</v>
      </c>
      <c r="I564" s="2" t="s">
        <v>125</v>
      </c>
    </row>
    <row r="565" spans="1:9" ht="12.75">
      <c r="A565" s="5"/>
      <c r="B565" s="1" t="s">
        <v>127</v>
      </c>
      <c r="C565" s="3">
        <f>(3/2)^1.35*E565</f>
        <v>24.340295954695783</v>
      </c>
      <c r="D565" s="2">
        <v>23.29</v>
      </c>
      <c r="E565" s="2">
        <v>14.08</v>
      </c>
      <c r="F565" s="4">
        <f>-((D565-C565)/D565)</f>
        <v>0.04509643429350726</v>
      </c>
      <c r="G565" s="3">
        <f>C565-D565</f>
        <v>1.050295954695784</v>
      </c>
      <c r="H565" s="2">
        <v>1127</v>
      </c>
      <c r="I565" s="2" t="s">
        <v>125</v>
      </c>
    </row>
    <row r="566" spans="1:9" ht="12.75">
      <c r="A566" s="5"/>
      <c r="B566" s="1" t="s">
        <v>58</v>
      </c>
      <c r="C566" s="3">
        <f>(3/2)^1.35*E566</f>
        <v>18.168786255955446</v>
      </c>
      <c r="D566" s="2">
        <v>17.8</v>
      </c>
      <c r="E566" s="2">
        <v>10.51</v>
      </c>
      <c r="F566" s="4">
        <f>-((D566-C566)/D566)</f>
        <v>0.020718328986260973</v>
      </c>
      <c r="G566" s="3">
        <f>C566-D566</f>
        <v>0.36878625595544534</v>
      </c>
      <c r="H566" s="2">
        <v>1127</v>
      </c>
      <c r="I566" s="2" t="s">
        <v>125</v>
      </c>
    </row>
    <row r="567" spans="1:9" ht="12.75">
      <c r="A567" s="5"/>
      <c r="B567" s="1" t="s">
        <v>59</v>
      </c>
      <c r="C567" s="3">
        <f>(3/2)^1.35*E567</f>
        <v>15.85230922617616</v>
      </c>
      <c r="D567" s="2">
        <v>16.15</v>
      </c>
      <c r="E567" s="2">
        <v>9.17</v>
      </c>
      <c r="F567" s="4">
        <f>-((D567-C567)/D567)</f>
        <v>-0.01843286525225004</v>
      </c>
      <c r="G567" s="3">
        <f>C567-D567</f>
        <v>-0.29769077382383813</v>
      </c>
      <c r="H567" s="2">
        <v>1127</v>
      </c>
      <c r="I567" s="2" t="s">
        <v>125</v>
      </c>
    </row>
    <row r="568" spans="1:9" ht="12.75">
      <c r="A568" s="5"/>
      <c r="B568" s="1" t="s">
        <v>83</v>
      </c>
      <c r="C568" s="3">
        <f>(3/2)^1.35*E568</f>
        <v>24.409444522748895</v>
      </c>
      <c r="D568" s="2">
        <v>24.18</v>
      </c>
      <c r="E568" s="2">
        <v>14.12</v>
      </c>
      <c r="F568" s="4">
        <f>-((D568-C568)/D568)</f>
        <v>0.00948902079193117</v>
      </c>
      <c r="G568" s="3">
        <f>C568-D568</f>
        <v>0.2294445227488957</v>
      </c>
      <c r="H568" s="2">
        <v>1127</v>
      </c>
      <c r="I568" s="2" t="s">
        <v>125</v>
      </c>
    </row>
    <row r="569" spans="1:9" ht="12.75">
      <c r="A569" s="5"/>
      <c r="B569" s="1" t="s">
        <v>84</v>
      </c>
      <c r="C569" s="3">
        <f>(3/2)^1.35*E569</f>
        <v>18.410806244141344</v>
      </c>
      <c r="D569" s="2">
        <v>18.97</v>
      </c>
      <c r="E569" s="2">
        <v>10.65</v>
      </c>
      <c r="F569" s="4">
        <f>-((D569-C569)/D569)</f>
        <v>-0.02947779419391958</v>
      </c>
      <c r="G569" s="3">
        <f>C569-D569</f>
        <v>-0.5591937558586544</v>
      </c>
      <c r="H569" s="2">
        <v>1127</v>
      </c>
      <c r="I569" s="2" t="s">
        <v>125</v>
      </c>
    </row>
    <row r="570" spans="1:9" ht="12.75">
      <c r="A570" s="5"/>
      <c r="B570" s="1" t="s">
        <v>71</v>
      </c>
      <c r="C570" s="3">
        <f>(3/2)^1.35*E570</f>
        <v>16.059754930335497</v>
      </c>
      <c r="D570" s="2">
        <v>16.92</v>
      </c>
      <c r="E570" s="2">
        <v>9.29</v>
      </c>
      <c r="F570" s="4">
        <f>-((D570-C570)/D570)</f>
        <v>-0.050841907190573535</v>
      </c>
      <c r="G570" s="3">
        <f>C570-D570</f>
        <v>-0.8602450696645043</v>
      </c>
      <c r="H570" s="2">
        <v>1127</v>
      </c>
      <c r="I570" s="2" t="s">
        <v>125</v>
      </c>
    </row>
    <row r="571" spans="1:9" ht="12.75">
      <c r="A571" s="5"/>
      <c r="B571" s="17"/>
      <c r="C571" s="3"/>
      <c r="D571" s="2"/>
      <c r="E571" s="2" t="s">
        <v>14</v>
      </c>
      <c r="F571" s="4">
        <f>AVERAGE(F562:F570)</f>
        <v>0.0012915604420543016</v>
      </c>
      <c r="G571" s="3">
        <f>AVERAGE(G562:G570)</f>
        <v>0.11065035068519356</v>
      </c>
      <c r="H571" s="2"/>
      <c r="I571" s="2"/>
    </row>
    <row r="572" spans="1:9" ht="12.75">
      <c r="A572" s="5"/>
      <c r="B572" s="17"/>
      <c r="C572" s="3"/>
      <c r="D572" s="2"/>
      <c r="E572" s="2"/>
      <c r="F572" s="4"/>
      <c r="G572" s="3"/>
      <c r="H572" s="2"/>
      <c r="I572" s="2"/>
    </row>
    <row r="573" spans="1:9" ht="12.75">
      <c r="A573" s="5" t="s">
        <v>0</v>
      </c>
      <c r="B573" s="5" t="s">
        <v>1</v>
      </c>
      <c r="C573" s="5" t="s">
        <v>15</v>
      </c>
      <c r="D573" s="6" t="s">
        <v>3</v>
      </c>
      <c r="E573" s="6" t="s">
        <v>4</v>
      </c>
      <c r="F573" s="6" t="s">
        <v>5</v>
      </c>
      <c r="G573" s="6" t="s">
        <v>6</v>
      </c>
      <c r="H573" s="6" t="s">
        <v>7</v>
      </c>
      <c r="I573" s="6" t="s">
        <v>8</v>
      </c>
    </row>
    <row r="574" spans="1:9" ht="12.75">
      <c r="A574" s="5" t="s">
        <v>126</v>
      </c>
      <c r="B574" s="5" t="s">
        <v>44</v>
      </c>
      <c r="C574" s="7">
        <f>(3/2)^2*E574</f>
        <v>31.972500000000004</v>
      </c>
      <c r="D574" s="6">
        <v>23.38</v>
      </c>
      <c r="E574" s="6">
        <v>14.21</v>
      </c>
      <c r="F574" s="8">
        <f>-((D574-C574)/D574)</f>
        <v>0.36751497005988043</v>
      </c>
      <c r="G574" s="7">
        <f>C574-D574</f>
        <v>8.592500000000005</v>
      </c>
      <c r="H574" s="6">
        <v>1127</v>
      </c>
      <c r="I574" s="6" t="s">
        <v>125</v>
      </c>
    </row>
    <row r="575" spans="1:9" ht="12.75">
      <c r="A575" s="5"/>
      <c r="B575" s="5" t="s">
        <v>46</v>
      </c>
      <c r="C575" s="7">
        <f>(3/2)^2*E575</f>
        <v>23.0625</v>
      </c>
      <c r="D575" s="6">
        <v>17.63</v>
      </c>
      <c r="E575" s="6">
        <v>10.25</v>
      </c>
      <c r="F575" s="8">
        <f>-((D575-C575)/D575)</f>
        <v>0.308139534883721</v>
      </c>
      <c r="G575" s="7">
        <f>C575-D575</f>
        <v>5.432500000000001</v>
      </c>
      <c r="H575" s="6">
        <v>1127</v>
      </c>
      <c r="I575" s="6" t="s">
        <v>125</v>
      </c>
    </row>
    <row r="576" spans="1:9" ht="12.75">
      <c r="A576" s="5"/>
      <c r="B576" s="5" t="s">
        <v>39</v>
      </c>
      <c r="C576" s="7">
        <f>(3/2)^2*E576</f>
        <v>12.9375</v>
      </c>
      <c r="D576" s="6">
        <v>10.15</v>
      </c>
      <c r="E576" s="6">
        <v>5.75</v>
      </c>
      <c r="F576" s="8">
        <f>-((D576-C576)/D576)</f>
        <v>0.27463054187192115</v>
      </c>
      <c r="G576" s="7">
        <f>C576-D576</f>
        <v>2.7874999999999996</v>
      </c>
      <c r="H576" s="6">
        <v>1127</v>
      </c>
      <c r="I576" s="6" t="s">
        <v>125</v>
      </c>
    </row>
    <row r="577" spans="1:9" ht="12.75">
      <c r="A577" s="5"/>
      <c r="B577" s="5" t="s">
        <v>127</v>
      </c>
      <c r="C577" s="7">
        <f>(3/2)^2*E577</f>
        <v>31.68</v>
      </c>
      <c r="D577" s="6">
        <v>23.29</v>
      </c>
      <c r="E577" s="6">
        <v>14.08</v>
      </c>
      <c r="F577" s="8">
        <f>-((D577-C577)/D577)</f>
        <v>0.36024044654358095</v>
      </c>
      <c r="G577" s="7">
        <f>C577-D577</f>
        <v>8.39</v>
      </c>
      <c r="H577" s="6">
        <v>1127</v>
      </c>
      <c r="I577" s="6" t="s">
        <v>125</v>
      </c>
    </row>
    <row r="578" spans="1:9" ht="12.75">
      <c r="A578" s="5"/>
      <c r="B578" s="5" t="s">
        <v>58</v>
      </c>
      <c r="C578" s="7">
        <f>(3/2)^2*E578</f>
        <v>23.6475</v>
      </c>
      <c r="D578" s="6">
        <v>17.8</v>
      </c>
      <c r="E578" s="6">
        <v>10.51</v>
      </c>
      <c r="F578" s="8">
        <f>-((D578-C578)/D578)</f>
        <v>0.32851123595505616</v>
      </c>
      <c r="G578" s="7">
        <f>C578-D578</f>
        <v>5.8475</v>
      </c>
      <c r="H578" s="6">
        <v>1127</v>
      </c>
      <c r="I578" s="6" t="s">
        <v>125</v>
      </c>
    </row>
    <row r="579" spans="1:9" ht="12.75">
      <c r="A579" s="5"/>
      <c r="B579" s="5" t="s">
        <v>59</v>
      </c>
      <c r="C579" s="7">
        <f>(3/2)^2*E579</f>
        <v>20.6325</v>
      </c>
      <c r="D579" s="6">
        <v>16.15</v>
      </c>
      <c r="E579" s="6">
        <v>9.17</v>
      </c>
      <c r="F579" s="8">
        <f>-((D579-C579)/D579)</f>
        <v>0.2775541795665636</v>
      </c>
      <c r="G579" s="7">
        <f>C579-D579</f>
        <v>4.482500000000002</v>
      </c>
      <c r="H579" s="6">
        <v>1127</v>
      </c>
      <c r="I579" s="6" t="s">
        <v>125</v>
      </c>
    </row>
    <row r="580" spans="1:9" ht="12.75">
      <c r="A580" s="5"/>
      <c r="B580" s="5" t="s">
        <v>83</v>
      </c>
      <c r="C580" s="7">
        <f>(3/2)^2*E580</f>
        <v>31.77</v>
      </c>
      <c r="D580" s="6">
        <v>24.18</v>
      </c>
      <c r="E580" s="6">
        <v>14.12</v>
      </c>
      <c r="F580" s="8">
        <f>-((D580-C580)/D580)</f>
        <v>0.31389578163771714</v>
      </c>
      <c r="G580" s="7">
        <f>C580-D580</f>
        <v>7.59</v>
      </c>
      <c r="H580" s="6">
        <v>1127</v>
      </c>
      <c r="I580" s="6" t="s">
        <v>125</v>
      </c>
    </row>
    <row r="581" spans="1:9" ht="12.75">
      <c r="A581" s="5"/>
      <c r="B581" s="5" t="s">
        <v>84</v>
      </c>
      <c r="C581" s="7">
        <f>(3/2)^2*E581</f>
        <v>23.962500000000002</v>
      </c>
      <c r="D581" s="6">
        <v>18.97</v>
      </c>
      <c r="E581" s="6">
        <v>10.65</v>
      </c>
      <c r="F581" s="8">
        <f>-((D581-C581)/D581)</f>
        <v>0.26317870321560377</v>
      </c>
      <c r="G581" s="7">
        <f>C581-D581</f>
        <v>4.992500000000003</v>
      </c>
      <c r="H581" s="6">
        <v>1127</v>
      </c>
      <c r="I581" s="6" t="s">
        <v>125</v>
      </c>
    </row>
    <row r="582" spans="1:9" ht="12.75">
      <c r="A582" s="5"/>
      <c r="B582" s="5" t="s">
        <v>71</v>
      </c>
      <c r="C582" s="7">
        <f>(3/2)^2*E582</f>
        <v>20.902499999999996</v>
      </c>
      <c r="D582" s="6">
        <v>16.92</v>
      </c>
      <c r="E582" s="6">
        <v>9.29</v>
      </c>
      <c r="F582" s="8">
        <f>-((D582-C582)/D582)</f>
        <v>0.23537234042553157</v>
      </c>
      <c r="G582" s="7">
        <f>C582-D582</f>
        <v>3.9824999999999946</v>
      </c>
      <c r="H582" s="6">
        <v>1127</v>
      </c>
      <c r="I582" s="6" t="s">
        <v>125</v>
      </c>
    </row>
    <row r="583" spans="1:9" ht="12.75">
      <c r="A583" s="5"/>
      <c r="B583" s="17"/>
      <c r="C583" s="7"/>
      <c r="D583" s="6"/>
      <c r="E583" s="6" t="s">
        <v>14</v>
      </c>
      <c r="F583" s="8">
        <f>AVERAGE(F574:F582)</f>
        <v>0.3032264149066195</v>
      </c>
      <c r="G583" s="7">
        <f>AVERAGE(G574:G582)</f>
        <v>5.788611111111113</v>
      </c>
      <c r="H583" s="6"/>
      <c r="I583" s="6"/>
    </row>
    <row r="584" spans="1:9" ht="12.75">
      <c r="A584" s="5"/>
      <c r="B584" s="17"/>
      <c r="C584" s="7"/>
      <c r="D584" s="6"/>
      <c r="E584" s="6"/>
      <c r="F584" s="8"/>
      <c r="G584" s="7"/>
      <c r="H584" s="6"/>
      <c r="I584" s="6"/>
    </row>
    <row r="585" spans="1:9" ht="12.75">
      <c r="A585" s="1" t="s">
        <v>0</v>
      </c>
      <c r="B585" s="1" t="s">
        <v>1</v>
      </c>
      <c r="C585" s="1" t="s">
        <v>128</v>
      </c>
      <c r="D585" s="2" t="s">
        <v>3</v>
      </c>
      <c r="E585" s="2" t="s">
        <v>4</v>
      </c>
      <c r="F585" s="2" t="s">
        <v>5</v>
      </c>
      <c r="G585" s="2" t="s">
        <v>6</v>
      </c>
      <c r="H585" s="2" t="s">
        <v>7</v>
      </c>
      <c r="I585" s="2" t="s">
        <v>8</v>
      </c>
    </row>
    <row r="586" spans="1:9" ht="12.75">
      <c r="A586" s="1" t="s">
        <v>129</v>
      </c>
      <c r="B586" s="1" t="s">
        <v>91</v>
      </c>
      <c r="C586" s="3">
        <f>(3/2)^1.43*E586</f>
        <v>16.874942782738742</v>
      </c>
      <c r="D586" s="2">
        <v>16.1</v>
      </c>
      <c r="E586" s="2">
        <v>9.45</v>
      </c>
      <c r="F586" s="4">
        <f>-((D586-C586)/D586)</f>
        <v>0.048133092095573954</v>
      </c>
      <c r="G586" s="3">
        <f>C586-D586</f>
        <v>0.7749427827387407</v>
      </c>
      <c r="H586" s="2">
        <v>900</v>
      </c>
      <c r="I586" s="2" t="s">
        <v>125</v>
      </c>
    </row>
    <row r="587" spans="1:9" ht="12.75">
      <c r="A587" s="1"/>
      <c r="B587" s="1" t="s">
        <v>92</v>
      </c>
      <c r="C587" s="3">
        <f>(3/2)^1.43*E587</f>
        <v>14.73209290556557</v>
      </c>
      <c r="D587" s="2">
        <v>14.37</v>
      </c>
      <c r="E587" s="2">
        <v>8.25</v>
      </c>
      <c r="F587" s="4">
        <f>-((D587-C587)/D587)</f>
        <v>0.025197836156268024</v>
      </c>
      <c r="G587" s="3">
        <f>C587-D587</f>
        <v>0.3620929055655715</v>
      </c>
      <c r="H587" s="2">
        <v>900</v>
      </c>
      <c r="I587" s="2" t="s">
        <v>125</v>
      </c>
    </row>
    <row r="588" spans="1:9" ht="12.75">
      <c r="A588" s="1"/>
      <c r="B588" s="1" t="s">
        <v>93</v>
      </c>
      <c r="C588" s="3">
        <f>(3/2)^1.43*E588</f>
        <v>10.821391879724526</v>
      </c>
      <c r="D588" s="2">
        <v>11.23</v>
      </c>
      <c r="E588" s="2">
        <v>6.06</v>
      </c>
      <c r="F588" s="4">
        <f>-((D588-C588)/D588)</f>
        <v>-0.036385406970211406</v>
      </c>
      <c r="G588" s="3">
        <f>C588-D588</f>
        <v>-0.4086081202754741</v>
      </c>
      <c r="H588" s="2">
        <v>900</v>
      </c>
      <c r="I588" s="2" t="s">
        <v>125</v>
      </c>
    </row>
    <row r="589" spans="1:9" ht="12.75">
      <c r="A589" s="5"/>
      <c r="B589" s="1" t="s">
        <v>130</v>
      </c>
      <c r="C589" s="3">
        <f>(3/2)^1.43*E589</f>
        <v>18.464223108308847</v>
      </c>
      <c r="D589" s="2">
        <v>17.45</v>
      </c>
      <c r="E589" s="2">
        <v>10.34</v>
      </c>
      <c r="F589" s="4">
        <f>-((D589-C589)/D589)</f>
        <v>0.05812166809792823</v>
      </c>
      <c r="G589" s="3">
        <f>C589-D589</f>
        <v>1.0142231083088475</v>
      </c>
      <c r="H589" s="2">
        <v>900</v>
      </c>
      <c r="I589" s="2" t="s">
        <v>125</v>
      </c>
    </row>
    <row r="590" spans="1:9" ht="12.75">
      <c r="A590" s="5"/>
      <c r="B590" s="1" t="s">
        <v>131</v>
      </c>
      <c r="C590" s="3">
        <f>(3/2)^1.43*E590</f>
        <v>13.892810037006077</v>
      </c>
      <c r="D590" s="2">
        <v>13.97</v>
      </c>
      <c r="E590" s="2">
        <v>7.78</v>
      </c>
      <c r="F590" s="4">
        <f>-((D590-C590)/D590)</f>
        <v>-0.005525408947310196</v>
      </c>
      <c r="G590" s="3">
        <f>C590-D590</f>
        <v>-0.07718996299392344</v>
      </c>
      <c r="H590" s="2">
        <v>900</v>
      </c>
      <c r="I590" s="2" t="s">
        <v>125</v>
      </c>
    </row>
    <row r="591" spans="1:9" ht="12.75">
      <c r="A591" s="5"/>
      <c r="B591" s="1" t="s">
        <v>132</v>
      </c>
      <c r="C591" s="3">
        <f>(3/2)^1.43*E591</f>
        <v>15.446376197956628</v>
      </c>
      <c r="D591" s="2">
        <v>15.15</v>
      </c>
      <c r="E591" s="2">
        <v>8.65</v>
      </c>
      <c r="F591" s="4">
        <f>-((D591-C591)/D591)</f>
        <v>0.01956278534367178</v>
      </c>
      <c r="G591" s="3">
        <f>C591-D591</f>
        <v>0.2963761979566275</v>
      </c>
      <c r="H591" s="2">
        <v>900</v>
      </c>
      <c r="I591" s="2" t="s">
        <v>125</v>
      </c>
    </row>
    <row r="592" spans="1:9" ht="12.75">
      <c r="A592" s="5"/>
      <c r="B592" s="1" t="s">
        <v>133</v>
      </c>
      <c r="C592" s="3">
        <f>(3/2)^1.43*E592</f>
        <v>14.589236247087358</v>
      </c>
      <c r="D592" s="2">
        <v>14.62</v>
      </c>
      <c r="E592" s="2">
        <v>8.17</v>
      </c>
      <c r="F592" s="4">
        <f>-((D592-C592)/D592)</f>
        <v>-0.002104223865433721</v>
      </c>
      <c r="G592" s="3">
        <f>C592-D592</f>
        <v>-0.030763752912640996</v>
      </c>
      <c r="H592" s="2">
        <v>900</v>
      </c>
      <c r="I592" s="2" t="s">
        <v>125</v>
      </c>
    </row>
    <row r="593" spans="1:9" ht="12.75">
      <c r="A593" s="5"/>
      <c r="B593" s="1" t="s">
        <v>55</v>
      </c>
      <c r="C593" s="3">
        <f>(3/2)^1.43*E593</f>
        <v>12.410672205294633</v>
      </c>
      <c r="D593" s="2">
        <v>12.7</v>
      </c>
      <c r="E593" s="2">
        <v>6.95</v>
      </c>
      <c r="F593" s="4">
        <f>-((D593-C593)/D593)</f>
        <v>-0.0227817161185328</v>
      </c>
      <c r="G593" s="3">
        <f>C593-D593</f>
        <v>-0.2893277947053665</v>
      </c>
      <c r="H593" s="2">
        <v>900</v>
      </c>
      <c r="I593" s="2" t="s">
        <v>125</v>
      </c>
    </row>
    <row r="594" spans="1:9" ht="12.75">
      <c r="A594" s="5"/>
      <c r="B594" s="1" t="s">
        <v>56</v>
      </c>
      <c r="C594" s="3">
        <f>(3/2)^1.43*E594</f>
        <v>9.49996778880107</v>
      </c>
      <c r="D594" s="2">
        <v>10.27</v>
      </c>
      <c r="E594" s="2">
        <v>5.32</v>
      </c>
      <c r="F594" s="4">
        <f>-((D594-C594)/D594)</f>
        <v>-0.074978793690256</v>
      </c>
      <c r="G594" s="3">
        <f>C594-D594</f>
        <v>-0.7700322111989291</v>
      </c>
      <c r="H594" s="2">
        <v>900</v>
      </c>
      <c r="I594" s="2" t="s">
        <v>125</v>
      </c>
    </row>
    <row r="595" spans="1:9" ht="12.75">
      <c r="A595" s="5"/>
      <c r="B595" s="17"/>
      <c r="C595" s="3"/>
      <c r="D595" s="2"/>
      <c r="E595" s="2" t="s">
        <v>14</v>
      </c>
      <c r="F595" s="4">
        <f>AVERAGE(F586:F594)</f>
        <v>0.0010266480112997639</v>
      </c>
      <c r="G595" s="3">
        <f>AVERAGE(G586:G594)</f>
        <v>0.0968570169426059</v>
      </c>
      <c r="H595" s="2"/>
      <c r="I595" s="2"/>
    </row>
    <row r="596" spans="1:9" ht="12.75">
      <c r="A596" s="5"/>
      <c r="B596" s="17"/>
      <c r="C596" s="7"/>
      <c r="D596" s="6"/>
      <c r="E596" s="6"/>
      <c r="F596" s="8"/>
      <c r="G596" s="7"/>
      <c r="H596" s="6"/>
      <c r="I596" s="6"/>
    </row>
    <row r="597" spans="1:9" ht="12.75">
      <c r="A597" s="5" t="s">
        <v>0</v>
      </c>
      <c r="B597" s="5" t="s">
        <v>1</v>
      </c>
      <c r="C597" s="5" t="s">
        <v>15</v>
      </c>
      <c r="D597" s="6" t="s">
        <v>3</v>
      </c>
      <c r="E597" s="6" t="s">
        <v>4</v>
      </c>
      <c r="F597" s="6" t="s">
        <v>5</v>
      </c>
      <c r="G597" s="6" t="s">
        <v>6</v>
      </c>
      <c r="H597" s="6" t="s">
        <v>7</v>
      </c>
      <c r="I597" s="6" t="s">
        <v>8</v>
      </c>
    </row>
    <row r="598" spans="1:9" ht="12.75">
      <c r="A598" s="5" t="s">
        <v>129</v>
      </c>
      <c r="B598" s="5" t="s">
        <v>91</v>
      </c>
      <c r="C598" s="7">
        <f>(3/2)^2*E598</f>
        <v>21.2625</v>
      </c>
      <c r="D598" s="6">
        <v>16.1</v>
      </c>
      <c r="E598" s="6">
        <v>9.45</v>
      </c>
      <c r="F598" s="8">
        <f>-((D598-C598)/D598)</f>
        <v>0.3206521739130433</v>
      </c>
      <c r="G598" s="7">
        <f>C598-D598</f>
        <v>5.162499999999998</v>
      </c>
      <c r="H598" s="6">
        <v>900</v>
      </c>
      <c r="I598" s="6" t="s">
        <v>125</v>
      </c>
    </row>
    <row r="599" spans="1:9" ht="12.75">
      <c r="A599" s="5"/>
      <c r="B599" s="5" t="s">
        <v>92</v>
      </c>
      <c r="C599" s="7">
        <f>(3/2)^2*E599</f>
        <v>18.5625</v>
      </c>
      <c r="D599" s="6">
        <v>14.37</v>
      </c>
      <c r="E599" s="6">
        <v>8.25</v>
      </c>
      <c r="F599" s="8">
        <f>-((D599-C599)/D599)</f>
        <v>0.29175365344467646</v>
      </c>
      <c r="G599" s="7">
        <f>C599-D599</f>
        <v>4.192500000000001</v>
      </c>
      <c r="H599" s="6">
        <v>900</v>
      </c>
      <c r="I599" s="6" t="s">
        <v>125</v>
      </c>
    </row>
    <row r="600" spans="1:9" ht="12.75">
      <c r="A600" s="5"/>
      <c r="B600" s="5" t="s">
        <v>93</v>
      </c>
      <c r="C600" s="7">
        <f>(3/2)^2*E600</f>
        <v>13.635</v>
      </c>
      <c r="D600" s="6">
        <v>11.23</v>
      </c>
      <c r="E600" s="6">
        <v>6.06</v>
      </c>
      <c r="F600" s="8">
        <f>-((D600-C600)/D600)</f>
        <v>0.21415850400712372</v>
      </c>
      <c r="G600" s="7">
        <f>C600-D600</f>
        <v>2.4049999999999994</v>
      </c>
      <c r="H600" s="6">
        <v>900</v>
      </c>
      <c r="I600" s="6" t="s">
        <v>125</v>
      </c>
    </row>
    <row r="601" spans="1:9" ht="12.75">
      <c r="A601" s="5"/>
      <c r="B601" s="5" t="s">
        <v>130</v>
      </c>
      <c r="C601" s="7">
        <f>(3/2)^2*E601</f>
        <v>23.265</v>
      </c>
      <c r="D601" s="6">
        <v>17.45</v>
      </c>
      <c r="E601" s="6">
        <v>10.34</v>
      </c>
      <c r="F601" s="8">
        <f>-((D601-C601)/D601)</f>
        <v>0.3332378223495703</v>
      </c>
      <c r="G601" s="7">
        <f>C601-D601</f>
        <v>5.815000000000001</v>
      </c>
      <c r="H601" s="6">
        <v>900</v>
      </c>
      <c r="I601" s="6" t="s">
        <v>125</v>
      </c>
    </row>
    <row r="602" spans="1:9" ht="12.75">
      <c r="A602" s="5"/>
      <c r="B602" s="5" t="s">
        <v>131</v>
      </c>
      <c r="C602" s="7">
        <f>(3/2)^2*E602</f>
        <v>17.505</v>
      </c>
      <c r="D602" s="6">
        <v>13.97</v>
      </c>
      <c r="E602" s="6">
        <v>7.78</v>
      </c>
      <c r="F602" s="8">
        <f>-((D602-C602)/D602)</f>
        <v>0.25304223335719384</v>
      </c>
      <c r="G602" s="7">
        <f>C602-D602</f>
        <v>3.5349999999999984</v>
      </c>
      <c r="H602" s="6">
        <v>900</v>
      </c>
      <c r="I602" s="6" t="s">
        <v>125</v>
      </c>
    </row>
    <row r="603" spans="1:9" ht="12.75">
      <c r="A603" s="5"/>
      <c r="B603" s="5" t="s">
        <v>132</v>
      </c>
      <c r="C603" s="7">
        <f>(3/2)^2*E603</f>
        <v>19.462500000000002</v>
      </c>
      <c r="D603" s="6">
        <v>15.15</v>
      </c>
      <c r="E603" s="6">
        <v>8.65</v>
      </c>
      <c r="F603" s="8">
        <f>-((D603-C603)/D603)</f>
        <v>0.28465346534653474</v>
      </c>
      <c r="G603" s="7">
        <f>C603-D603</f>
        <v>4.312500000000002</v>
      </c>
      <c r="H603" s="6">
        <v>900</v>
      </c>
      <c r="I603" s="6" t="s">
        <v>125</v>
      </c>
    </row>
    <row r="604" spans="1:9" ht="12.75">
      <c r="A604" s="5"/>
      <c r="B604" s="5" t="s">
        <v>133</v>
      </c>
      <c r="C604" s="7">
        <f>(3/2)^2*E604</f>
        <v>18.3825</v>
      </c>
      <c r="D604" s="6">
        <v>14.62</v>
      </c>
      <c r="E604" s="6">
        <v>8.17</v>
      </c>
      <c r="F604" s="8">
        <f>-((D604-C604)/D604)</f>
        <v>0.2573529411764707</v>
      </c>
      <c r="G604" s="7">
        <f>C604-D604</f>
        <v>3.762500000000001</v>
      </c>
      <c r="H604" s="6">
        <v>900</v>
      </c>
      <c r="I604" s="6" t="s">
        <v>125</v>
      </c>
    </row>
    <row r="605" spans="1:9" ht="12.75">
      <c r="A605" s="5"/>
      <c r="B605" s="5" t="s">
        <v>55</v>
      </c>
      <c r="C605" s="7">
        <f>(3/2)^2*E605</f>
        <v>15.637500000000001</v>
      </c>
      <c r="D605" s="6">
        <v>12.7</v>
      </c>
      <c r="E605" s="6">
        <v>6.95</v>
      </c>
      <c r="F605" s="8">
        <f>-((D605-C605)/D605)</f>
        <v>0.23129921259842534</v>
      </c>
      <c r="G605" s="7">
        <f>C605-D605</f>
        <v>2.9375000000000018</v>
      </c>
      <c r="H605" s="6">
        <v>900</v>
      </c>
      <c r="I605" s="6" t="s">
        <v>125</v>
      </c>
    </row>
    <row r="606" spans="1:9" ht="12.75">
      <c r="A606" s="5"/>
      <c r="B606" s="5" t="s">
        <v>56</v>
      </c>
      <c r="C606" s="7">
        <f>(3/2)^2*E606</f>
        <v>11.97</v>
      </c>
      <c r="D606" s="6">
        <v>10.27</v>
      </c>
      <c r="E606" s="6">
        <v>5.32</v>
      </c>
      <c r="F606" s="8">
        <f>-((D606-C606)/D606)</f>
        <v>0.1655306718597859</v>
      </c>
      <c r="G606" s="7">
        <f>C606-D606</f>
        <v>1.700000000000001</v>
      </c>
      <c r="H606" s="6">
        <v>900</v>
      </c>
      <c r="I606" s="6" t="s">
        <v>125</v>
      </c>
    </row>
    <row r="607" spans="1:9" ht="12.75">
      <c r="A607" s="5"/>
      <c r="B607" s="17"/>
      <c r="C607" s="7"/>
      <c r="D607" s="6"/>
      <c r="E607" s="6" t="s">
        <v>14</v>
      </c>
      <c r="F607" s="8">
        <f>AVERAGE(F598:F606)</f>
        <v>0.2612978531169805</v>
      </c>
      <c r="G607" s="7">
        <f>AVERAGE(G598:G606)</f>
        <v>3.758055555555556</v>
      </c>
      <c r="H607" s="6"/>
      <c r="I607" s="6"/>
    </row>
    <row r="608" spans="1:9" ht="12.75">
      <c r="A608" s="5"/>
      <c r="B608" s="17"/>
      <c r="C608" s="7"/>
      <c r="D608" s="6"/>
      <c r="E608" s="6"/>
      <c r="F608" s="8"/>
      <c r="G608" s="7"/>
      <c r="H608" s="6"/>
      <c r="I608" s="6"/>
    </row>
    <row r="609" spans="1:9" ht="12.75">
      <c r="A609" s="20" t="s">
        <v>0</v>
      </c>
      <c r="B609" s="20" t="s">
        <v>1</v>
      </c>
      <c r="C609" s="16" t="s">
        <v>134</v>
      </c>
      <c r="D609" s="16" t="s">
        <v>73</v>
      </c>
      <c r="E609" s="16" t="s">
        <v>3</v>
      </c>
      <c r="F609" s="16" t="s">
        <v>5</v>
      </c>
      <c r="G609" s="16" t="s">
        <v>6</v>
      </c>
      <c r="H609" s="16" t="s">
        <v>7</v>
      </c>
      <c r="I609" s="16" t="s">
        <v>8</v>
      </c>
    </row>
    <row r="610" spans="1:9" ht="12.75">
      <c r="A610" s="20" t="s">
        <v>129</v>
      </c>
      <c r="B610" s="20" t="s">
        <v>50</v>
      </c>
      <c r="C610" s="21">
        <f>(4/3)^1.45*E610</f>
        <v>16.375049170986212</v>
      </c>
      <c r="D610" s="16">
        <v>16.15</v>
      </c>
      <c r="E610" s="16">
        <v>10.79</v>
      </c>
      <c r="F610" s="22">
        <f>-((D610-C610)/D610)</f>
        <v>0.013934933188000863</v>
      </c>
      <c r="G610" s="21">
        <f>C610-D610</f>
        <v>0.2250491709862139</v>
      </c>
      <c r="H610" s="16">
        <v>900</v>
      </c>
      <c r="I610" s="16" t="s">
        <v>125</v>
      </c>
    </row>
    <row r="611" spans="2:9" ht="12.75">
      <c r="B611" s="15" t="s">
        <v>52</v>
      </c>
      <c r="C611" s="21">
        <f>(4/3)^1.45*E611</f>
        <v>13.172884782591318</v>
      </c>
      <c r="D611" s="16">
        <v>12.79</v>
      </c>
      <c r="E611" s="16">
        <v>8.68</v>
      </c>
      <c r="F611" s="22">
        <f>-((D611-C611)/D611)</f>
        <v>0.029936261344121865</v>
      </c>
      <c r="G611" s="21">
        <f>C611-D611</f>
        <v>0.38288478259131864</v>
      </c>
      <c r="H611" s="16">
        <v>900</v>
      </c>
      <c r="I611" s="16" t="s">
        <v>125</v>
      </c>
    </row>
    <row r="612" spans="2:9" ht="12.75">
      <c r="B612" s="15" t="s">
        <v>51</v>
      </c>
      <c r="C612" s="21">
        <f>(4/3)^1.45*E612</f>
        <v>8.786981899908264</v>
      </c>
      <c r="D612" s="16">
        <v>9.17</v>
      </c>
      <c r="E612" s="16">
        <v>5.79</v>
      </c>
      <c r="F612" s="22">
        <f>-((D612-C612)/D612)</f>
        <v>-0.04176860415395154</v>
      </c>
      <c r="G612" s="21">
        <f>C612-D612</f>
        <v>-0.38301810009173565</v>
      </c>
      <c r="H612" s="16">
        <v>900</v>
      </c>
      <c r="I612" s="16" t="s">
        <v>125</v>
      </c>
    </row>
    <row r="613" spans="2:9" ht="12.75">
      <c r="B613" s="20"/>
      <c r="C613" s="21"/>
      <c r="D613" s="16"/>
      <c r="E613" s="16" t="s">
        <v>14</v>
      </c>
      <c r="F613" s="22">
        <f>AVERAGE(F610:F612)</f>
        <v>0.0007008634593903962</v>
      </c>
      <c r="G613" s="21">
        <f>AVERAGE(G610:G612)</f>
        <v>0.0749719511619323</v>
      </c>
      <c r="H613" s="16"/>
      <c r="I613" s="16"/>
    </row>
    <row r="614" spans="2:9" ht="12.75">
      <c r="B614" s="20"/>
      <c r="C614" s="21"/>
      <c r="D614" s="16"/>
      <c r="E614" s="16"/>
      <c r="F614" s="22"/>
      <c r="G614" s="21"/>
      <c r="H614" s="16"/>
      <c r="I614" s="16"/>
    </row>
    <row r="615" spans="1:9" ht="12.75">
      <c r="A615" s="23" t="s">
        <v>0</v>
      </c>
      <c r="B615" s="23" t="s">
        <v>1</v>
      </c>
      <c r="C615" s="18" t="s">
        <v>74</v>
      </c>
      <c r="D615" s="18" t="s">
        <v>73</v>
      </c>
      <c r="E615" s="18" t="s">
        <v>3</v>
      </c>
      <c r="F615" s="18" t="s">
        <v>5</v>
      </c>
      <c r="G615" s="18" t="s">
        <v>6</v>
      </c>
      <c r="H615" s="18" t="s">
        <v>7</v>
      </c>
      <c r="I615" s="18" t="s">
        <v>8</v>
      </c>
    </row>
    <row r="616" spans="1:9" ht="12.75">
      <c r="A616" s="23" t="s">
        <v>129</v>
      </c>
      <c r="B616" s="23" t="s">
        <v>50</v>
      </c>
      <c r="C616" s="24">
        <f>(4/3)^2*E616</f>
        <v>19.18222222222222</v>
      </c>
      <c r="D616" s="18">
        <v>16.15</v>
      </c>
      <c r="E616" s="18">
        <v>10.79</v>
      </c>
      <c r="F616" s="25">
        <f>-((D616-C616)/D616)</f>
        <v>0.18775369797041613</v>
      </c>
      <c r="G616" s="24">
        <f>C616-D616</f>
        <v>3.03222222222222</v>
      </c>
      <c r="H616" s="18">
        <v>900</v>
      </c>
      <c r="I616" s="18" t="s">
        <v>125</v>
      </c>
    </row>
    <row r="617" spans="1:9" ht="12.75">
      <c r="A617" s="5"/>
      <c r="B617" s="17" t="s">
        <v>52</v>
      </c>
      <c r="C617" s="24">
        <f>(4/3)^1.5*E617</f>
        <v>13.363734230842535</v>
      </c>
      <c r="D617" s="18">
        <v>12.79</v>
      </c>
      <c r="E617" s="18">
        <v>8.68</v>
      </c>
      <c r="F617" s="25">
        <f>-((D617-C617)/D617)</f>
        <v>0.04485803212216859</v>
      </c>
      <c r="G617" s="24">
        <f>C617-D617</f>
        <v>0.5737342308425362</v>
      </c>
      <c r="H617" s="18">
        <v>900</v>
      </c>
      <c r="I617" s="18" t="s">
        <v>125</v>
      </c>
    </row>
    <row r="618" spans="1:9" ht="12.75">
      <c r="A618" s="5"/>
      <c r="B618" s="17" t="s">
        <v>51</v>
      </c>
      <c r="C618" s="24">
        <f>(4/3)^1.5*E618</f>
        <v>8.914288156287821</v>
      </c>
      <c r="D618" s="18">
        <v>9.17</v>
      </c>
      <c r="E618" s="18">
        <v>5.79</v>
      </c>
      <c r="F618" s="25">
        <f>-((D618-C618)/D618)</f>
        <v>-0.02788569724233141</v>
      </c>
      <c r="G618" s="24">
        <f>C618-D618</f>
        <v>-0.25571184371217903</v>
      </c>
      <c r="H618" s="18">
        <v>900</v>
      </c>
      <c r="I618" s="18" t="s">
        <v>125</v>
      </c>
    </row>
    <row r="619" spans="1:9" ht="12.75">
      <c r="A619" s="5"/>
      <c r="B619" s="23"/>
      <c r="C619" s="24"/>
      <c r="D619" s="18"/>
      <c r="E619" s="18" t="s">
        <v>14</v>
      </c>
      <c r="F619" s="25">
        <f>AVERAGE(F616:F618)</f>
        <v>0.06824201095008443</v>
      </c>
      <c r="G619" s="24">
        <f>AVERAGE(G616:G618)</f>
        <v>1.1167482031175258</v>
      </c>
      <c r="H619" s="18"/>
      <c r="I619" s="18"/>
    </row>
    <row r="620" spans="2:9" ht="12.75">
      <c r="B620" s="20"/>
      <c r="C620" s="21"/>
      <c r="D620" s="16"/>
      <c r="E620" s="16"/>
      <c r="F620" s="22"/>
      <c r="G620" s="21"/>
      <c r="H620" s="16"/>
      <c r="I620" s="16"/>
    </row>
    <row r="621" spans="1:9" ht="12.75">
      <c r="A621" s="1" t="s">
        <v>0</v>
      </c>
      <c r="B621" s="1" t="s">
        <v>1</v>
      </c>
      <c r="C621" s="1" t="s">
        <v>135</v>
      </c>
      <c r="D621" s="2" t="s">
        <v>3</v>
      </c>
      <c r="E621" s="2" t="s">
        <v>4</v>
      </c>
      <c r="F621" s="2" t="s">
        <v>5</v>
      </c>
      <c r="G621" s="2" t="s">
        <v>6</v>
      </c>
      <c r="H621" s="2" t="s">
        <v>7</v>
      </c>
      <c r="I621" s="2" t="s">
        <v>8</v>
      </c>
    </row>
    <row r="622" spans="1:9" ht="12.75">
      <c r="A622" s="1" t="s">
        <v>136</v>
      </c>
      <c r="B622" s="1" t="s">
        <v>35</v>
      </c>
      <c r="C622" s="3">
        <f>(3/2)^1.63*E622</f>
        <v>43.04951023665483</v>
      </c>
      <c r="D622" s="2">
        <v>43.6</v>
      </c>
      <c r="E622" s="2">
        <v>22.23</v>
      </c>
      <c r="F622" s="4">
        <f>-((D622-C622)/D622)</f>
        <v>-0.012625912003329565</v>
      </c>
      <c r="G622" s="3">
        <f>C622-D622</f>
        <v>-0.5504897633451691</v>
      </c>
      <c r="H622" s="2">
        <v>2300</v>
      </c>
      <c r="I622" s="2" t="s">
        <v>137</v>
      </c>
    </row>
    <row r="623" spans="1:9" ht="12.75">
      <c r="A623" s="1"/>
      <c r="B623" s="1" t="s">
        <v>22</v>
      </c>
      <c r="C623" s="3">
        <f>(3/2)^1.63*E623</f>
        <v>36.2522191466567</v>
      </c>
      <c r="D623" s="2">
        <v>34.8</v>
      </c>
      <c r="E623" s="2">
        <v>18.72</v>
      </c>
      <c r="F623" s="4">
        <f>-((D623-C623)/D623)</f>
        <v>0.04173043524875582</v>
      </c>
      <c r="G623" s="3">
        <f>C623-D623</f>
        <v>1.4522191466567023</v>
      </c>
      <c r="H623" s="2">
        <v>2300</v>
      </c>
      <c r="I623" s="2" t="s">
        <v>137</v>
      </c>
    </row>
    <row r="624" spans="1:9" ht="12.75">
      <c r="A624" s="1"/>
      <c r="B624" s="1" t="s">
        <v>13</v>
      </c>
      <c r="C624" s="3">
        <f>(3/2)^1.63*E624</f>
        <v>27.53774339024884</v>
      </c>
      <c r="D624" s="2">
        <v>28.24</v>
      </c>
      <c r="E624" s="2">
        <v>14.22</v>
      </c>
      <c r="F624" s="4">
        <f>-((D624-C624)/D624)</f>
        <v>-0.02486744368807224</v>
      </c>
      <c r="G624" s="3">
        <f>C624-D624</f>
        <v>-0.70225660975116</v>
      </c>
      <c r="H624" s="2">
        <v>2300</v>
      </c>
      <c r="I624" s="2" t="s">
        <v>137</v>
      </c>
    </row>
    <row r="625" spans="1:8" ht="12.75">
      <c r="A625" s="1"/>
      <c r="B625" s="1"/>
      <c r="C625" s="3"/>
      <c r="D625" s="2"/>
      <c r="E625" s="2" t="s">
        <v>14</v>
      </c>
      <c r="F625" s="4">
        <f>AVERAGE(F622:F624)</f>
        <v>0.0014123598524513371</v>
      </c>
      <c r="G625" s="3">
        <f>AVERAGE(G622:G624)</f>
        <v>0.0664909245201244</v>
      </c>
      <c r="H625" s="2"/>
    </row>
    <row r="626" spans="1:8" ht="12.75">
      <c r="A626" s="1"/>
      <c r="B626" s="1"/>
      <c r="C626" s="3"/>
      <c r="D626" s="2"/>
      <c r="E626" s="2"/>
      <c r="F626" s="4"/>
      <c r="G626" s="3"/>
      <c r="H626" s="2"/>
    </row>
    <row r="627" spans="1:9" ht="12.75">
      <c r="A627" s="5" t="s">
        <v>0</v>
      </c>
      <c r="B627" s="5" t="s">
        <v>1</v>
      </c>
      <c r="C627" s="5" t="s">
        <v>15</v>
      </c>
      <c r="D627" s="6" t="s">
        <v>3</v>
      </c>
      <c r="E627" s="6" t="s">
        <v>4</v>
      </c>
      <c r="F627" s="6" t="s">
        <v>5</v>
      </c>
      <c r="G627" s="6" t="s">
        <v>6</v>
      </c>
      <c r="H627" s="6" t="s">
        <v>7</v>
      </c>
      <c r="I627" s="6" t="s">
        <v>8</v>
      </c>
    </row>
    <row r="628" spans="1:9" ht="12.75">
      <c r="A628" s="5" t="s">
        <v>136</v>
      </c>
      <c r="B628" s="5" t="s">
        <v>35</v>
      </c>
      <c r="C628" s="7">
        <f>(3/2)^2*E628</f>
        <v>50.0175</v>
      </c>
      <c r="D628" s="6">
        <v>43.6</v>
      </c>
      <c r="E628" s="6">
        <v>22.23</v>
      </c>
      <c r="F628" s="8">
        <f>-((D628-C628)/D628)</f>
        <v>0.14719036697247698</v>
      </c>
      <c r="G628" s="7">
        <f>C628-D628</f>
        <v>6.417499999999997</v>
      </c>
      <c r="H628" s="6">
        <v>2300</v>
      </c>
      <c r="I628" s="6" t="s">
        <v>137</v>
      </c>
    </row>
    <row r="629" spans="1:9" ht="12.75">
      <c r="A629" s="5"/>
      <c r="B629" s="5" t="s">
        <v>22</v>
      </c>
      <c r="C629" s="7">
        <f>(3/2)^2*E629</f>
        <v>42.12</v>
      </c>
      <c r="D629" s="6">
        <v>34.8</v>
      </c>
      <c r="E629" s="6">
        <v>18.72</v>
      </c>
      <c r="F629" s="8">
        <f>-((D629-C629)/D629)</f>
        <v>0.21034482758620693</v>
      </c>
      <c r="G629" s="7">
        <f>C629-D629</f>
        <v>7.32</v>
      </c>
      <c r="H629" s="6">
        <v>2300</v>
      </c>
      <c r="I629" s="6" t="s">
        <v>137</v>
      </c>
    </row>
    <row r="630" spans="1:9" ht="12.75">
      <c r="A630" s="5"/>
      <c r="B630" s="5" t="s">
        <v>13</v>
      </c>
      <c r="C630" s="7">
        <f>(3/2)^2*E630</f>
        <v>31.995</v>
      </c>
      <c r="D630" s="6">
        <v>28.24</v>
      </c>
      <c r="E630" s="6">
        <v>14.22</v>
      </c>
      <c r="F630" s="8">
        <f>-((D630-C630)/D630)</f>
        <v>0.13296742209631737</v>
      </c>
      <c r="G630" s="7">
        <f>C630-D630</f>
        <v>3.7550000000000026</v>
      </c>
      <c r="H630" s="6">
        <v>2300</v>
      </c>
      <c r="I630" s="6" t="s">
        <v>137</v>
      </c>
    </row>
    <row r="631" spans="1:9" ht="12.75">
      <c r="A631" s="5"/>
      <c r="B631" s="5"/>
      <c r="C631" s="7"/>
      <c r="D631" s="6"/>
      <c r="E631" s="6" t="s">
        <v>14</v>
      </c>
      <c r="F631" s="8">
        <f>AVERAGE(F628:F630)</f>
        <v>0.16350087221833376</v>
      </c>
      <c r="G631" s="7">
        <f>AVERAGE(G628:G630)</f>
        <v>5.8308333333333335</v>
      </c>
      <c r="H631" s="6"/>
      <c r="I631" s="5"/>
    </row>
    <row r="632" spans="4:8" ht="12.75">
      <c r="D632" s="6"/>
      <c r="E632" s="6"/>
      <c r="H632" s="6"/>
    </row>
    <row r="633" spans="1:9" ht="12.75">
      <c r="A633" s="20" t="s">
        <v>0</v>
      </c>
      <c r="B633" s="20" t="s">
        <v>1</v>
      </c>
      <c r="C633" s="16" t="s">
        <v>138</v>
      </c>
      <c r="D633" s="16" t="s">
        <v>73</v>
      </c>
      <c r="E633" s="16" t="s">
        <v>3</v>
      </c>
      <c r="F633" s="16" t="s">
        <v>5</v>
      </c>
      <c r="G633" s="16" t="s">
        <v>6</v>
      </c>
      <c r="H633" s="16" t="s">
        <v>7</v>
      </c>
      <c r="I633" s="16" t="s">
        <v>8</v>
      </c>
    </row>
    <row r="634" spans="1:9" ht="12.75">
      <c r="A634" s="20" t="s">
        <v>136</v>
      </c>
      <c r="B634" s="20" t="s">
        <v>13</v>
      </c>
      <c r="C634" s="21">
        <f>(4/3)^1.55*E634</f>
        <v>44.10824052285317</v>
      </c>
      <c r="D634" s="16">
        <v>43.71</v>
      </c>
      <c r="E634" s="16">
        <v>28.24</v>
      </c>
      <c r="F634" s="22">
        <f>-((D634-C634)/D634)</f>
        <v>0.009110970552577712</v>
      </c>
      <c r="G634" s="21">
        <f>C634-D634</f>
        <v>0.3982405228531718</v>
      </c>
      <c r="H634" s="16">
        <v>2300</v>
      </c>
      <c r="I634" s="16" t="s">
        <v>137</v>
      </c>
    </row>
    <row r="635" spans="2:9" ht="12.75">
      <c r="B635" s="20" t="s">
        <v>36</v>
      </c>
      <c r="C635" s="21">
        <f>(4/3)^1.55*E635</f>
        <v>39.29756839783944</v>
      </c>
      <c r="D635" s="16">
        <v>39.12</v>
      </c>
      <c r="E635" s="16">
        <v>25.16</v>
      </c>
      <c r="F635" s="22">
        <f>-((D635-C635)/D635)</f>
        <v>0.004539069474423415</v>
      </c>
      <c r="G635" s="21">
        <f>C635-D635</f>
        <v>0.177568397839444</v>
      </c>
      <c r="H635" s="16">
        <v>2300</v>
      </c>
      <c r="I635" s="16" t="s">
        <v>137</v>
      </c>
    </row>
    <row r="636" spans="2:9" ht="12.75">
      <c r="B636" s="20" t="s">
        <v>114</v>
      </c>
      <c r="C636" s="21">
        <f>(4/3)^1.55*E636</f>
        <v>37.470137752947856</v>
      </c>
      <c r="D636" s="16">
        <v>37.93</v>
      </c>
      <c r="E636" s="16">
        <v>23.99</v>
      </c>
      <c r="F636" s="22">
        <f>-((D636-C636)/D636)</f>
        <v>-0.012123971712421392</v>
      </c>
      <c r="G636" s="21">
        <f>C636-D636</f>
        <v>-0.4598622470521434</v>
      </c>
      <c r="H636" s="16">
        <v>2300</v>
      </c>
      <c r="I636" s="16" t="s">
        <v>137</v>
      </c>
    </row>
    <row r="637" spans="2:9" ht="12.75">
      <c r="B637" s="20"/>
      <c r="C637" s="21"/>
      <c r="D637" s="16"/>
      <c r="E637" s="16" t="s">
        <v>14</v>
      </c>
      <c r="F637" s="22">
        <f>AVERAGE(F634:F636)</f>
        <v>0.0005086894381932452</v>
      </c>
      <c r="G637" s="21">
        <f>AVERAGE(G634:G636)</f>
        <v>0.0386488912134908</v>
      </c>
      <c r="H637" s="16"/>
      <c r="I637" s="16"/>
    </row>
    <row r="638" spans="2:9" ht="12.75">
      <c r="B638" s="20"/>
      <c r="C638" s="21"/>
      <c r="D638" s="16"/>
      <c r="E638" s="16"/>
      <c r="F638" s="22"/>
      <c r="G638" s="21"/>
      <c r="H638" s="16"/>
      <c r="I638" s="16"/>
    </row>
    <row r="639" spans="1:9" ht="12.75">
      <c r="A639" s="23" t="s">
        <v>0</v>
      </c>
      <c r="B639" s="23" t="s">
        <v>1</v>
      </c>
      <c r="C639" s="18" t="s">
        <v>74</v>
      </c>
      <c r="D639" s="18" t="s">
        <v>73</v>
      </c>
      <c r="E639" s="18" t="s">
        <v>3</v>
      </c>
      <c r="F639" s="18" t="s">
        <v>5</v>
      </c>
      <c r="G639" s="18" t="s">
        <v>6</v>
      </c>
      <c r="H639" s="18" t="s">
        <v>7</v>
      </c>
      <c r="I639" s="18" t="s">
        <v>8</v>
      </c>
    </row>
    <row r="640" spans="1:9" ht="12.75">
      <c r="A640" s="23" t="s">
        <v>136</v>
      </c>
      <c r="B640" s="23" t="s">
        <v>13</v>
      </c>
      <c r="C640" s="24">
        <f>(4/3)^2*E640</f>
        <v>50.20444444444444</v>
      </c>
      <c r="D640" s="18">
        <v>43.71</v>
      </c>
      <c r="E640" s="18">
        <v>28.24</v>
      </c>
      <c r="F640" s="25">
        <f>-((D640-C640)/D640)</f>
        <v>0.1485802892803578</v>
      </c>
      <c r="G640" s="24">
        <f>C640-D640</f>
        <v>6.49444444444444</v>
      </c>
      <c r="H640" s="18">
        <v>2300</v>
      </c>
      <c r="I640" s="18" t="s">
        <v>137</v>
      </c>
    </row>
    <row r="641" spans="1:9" ht="12.75">
      <c r="A641" s="5"/>
      <c r="B641" s="23" t="s">
        <v>36</v>
      </c>
      <c r="C641" s="24">
        <f>(4/3)^2*E641</f>
        <v>44.72888888888889</v>
      </c>
      <c r="D641" s="18">
        <v>39.12</v>
      </c>
      <c r="E641" s="18">
        <v>25.16</v>
      </c>
      <c r="F641" s="25">
        <f>-((D641-C641)/D641)</f>
        <v>0.1433765053396956</v>
      </c>
      <c r="G641" s="24">
        <f>C641-D641</f>
        <v>5.608888888888892</v>
      </c>
      <c r="H641" s="18">
        <v>2300</v>
      </c>
      <c r="I641" s="18" t="s">
        <v>137</v>
      </c>
    </row>
    <row r="642" spans="1:9" ht="12.75">
      <c r="A642" s="5"/>
      <c r="B642" s="23" t="s">
        <v>114</v>
      </c>
      <c r="C642" s="24">
        <f>(4/3)^2*E642</f>
        <v>42.648888888888884</v>
      </c>
      <c r="D642" s="18">
        <v>37.93</v>
      </c>
      <c r="E642" s="18">
        <v>23.99</v>
      </c>
      <c r="F642" s="25">
        <f>-((D642-C642)/D642)</f>
        <v>0.12441046371971748</v>
      </c>
      <c r="G642" s="24">
        <f>C642-D642</f>
        <v>4.718888888888884</v>
      </c>
      <c r="H642" s="18">
        <v>2300</v>
      </c>
      <c r="I642" s="18" t="s">
        <v>137</v>
      </c>
    </row>
    <row r="643" spans="1:9" ht="12.75">
      <c r="A643" s="5"/>
      <c r="B643" s="23"/>
      <c r="C643" s="24"/>
      <c r="D643" s="18"/>
      <c r="E643" s="18" t="s">
        <v>14</v>
      </c>
      <c r="F643" s="25">
        <f>AVERAGE(F640:F642)</f>
        <v>0.13878908611325694</v>
      </c>
      <c r="G643" s="24">
        <f>AVERAGE(G640:G642)</f>
        <v>5.607407407407405</v>
      </c>
      <c r="H643" s="18"/>
      <c r="I643" s="18"/>
    </row>
    <row r="644" spans="1:9" ht="12.75">
      <c r="A644" s="5"/>
      <c r="B644" s="23"/>
      <c r="C644" s="24"/>
      <c r="D644" s="18"/>
      <c r="E644" s="18"/>
      <c r="F644" s="25"/>
      <c r="G644" s="24"/>
      <c r="H644" s="18"/>
      <c r="I644" s="18"/>
    </row>
    <row r="645" spans="1:9" ht="12.75">
      <c r="A645" s="1" t="s">
        <v>0</v>
      </c>
      <c r="B645" s="1" t="s">
        <v>1</v>
      </c>
      <c r="C645" s="2" t="s">
        <v>139</v>
      </c>
      <c r="D645" s="2" t="s">
        <v>3</v>
      </c>
      <c r="E645" s="2" t="s">
        <v>4</v>
      </c>
      <c r="F645" s="2" t="s">
        <v>5</v>
      </c>
      <c r="G645" s="2" t="s">
        <v>6</v>
      </c>
      <c r="H645" s="2" t="s">
        <v>7</v>
      </c>
      <c r="I645" s="2" t="s">
        <v>8</v>
      </c>
    </row>
    <row r="646" spans="1:9" ht="12.75">
      <c r="A646" s="1" t="s">
        <v>140</v>
      </c>
      <c r="B646" s="1" t="s">
        <v>71</v>
      </c>
      <c r="C646" s="3">
        <f>(3/2)^1.51*E646</f>
        <v>30.7122786196459</v>
      </c>
      <c r="D646" s="2">
        <v>29.99</v>
      </c>
      <c r="E646" s="2">
        <v>16.65</v>
      </c>
      <c r="F646" s="4">
        <f>-((D646-C646)/D646)</f>
        <v>0.024083981982190795</v>
      </c>
      <c r="G646" s="3">
        <f>C646-D646</f>
        <v>0.7222786196459019</v>
      </c>
      <c r="H646" s="2">
        <v>1550</v>
      </c>
      <c r="I646" s="2" t="s">
        <v>137</v>
      </c>
    </row>
    <row r="647" spans="1:9" ht="12.75">
      <c r="A647" s="1"/>
      <c r="B647" s="1" t="s">
        <v>52</v>
      </c>
      <c r="C647" s="3">
        <f>(3/2)^1.51*E647</f>
        <v>32.04037715454951</v>
      </c>
      <c r="D647" s="2">
        <v>31.72</v>
      </c>
      <c r="E647" s="2">
        <v>17.37</v>
      </c>
      <c r="F647" s="4">
        <f>-((D647-C647)/D647)</f>
        <v>0.010100162501560895</v>
      </c>
      <c r="G647" s="3">
        <f>C647-D647</f>
        <v>0.32037715454951154</v>
      </c>
      <c r="H647" s="2">
        <v>1550</v>
      </c>
      <c r="I647" s="2" t="s">
        <v>137</v>
      </c>
    </row>
    <row r="648" spans="1:9" ht="12.75">
      <c r="A648" s="1"/>
      <c r="B648" s="1" t="s">
        <v>51</v>
      </c>
      <c r="C648" s="3">
        <f>(3/2)^1.51*E648</f>
        <v>22.39321696351359</v>
      </c>
      <c r="D648" s="2">
        <v>22.92</v>
      </c>
      <c r="E648" s="2">
        <v>12.14</v>
      </c>
      <c r="F648" s="4">
        <f>-((D648-C648)/D648)</f>
        <v>-0.02298355307532331</v>
      </c>
      <c r="G648" s="3">
        <f>C648-D648</f>
        <v>-0.5267830364864103</v>
      </c>
      <c r="H648" s="2">
        <v>1550</v>
      </c>
      <c r="I648" s="2" t="s">
        <v>137</v>
      </c>
    </row>
    <row r="649" spans="1:9" ht="12.75">
      <c r="A649" s="1"/>
      <c r="B649" s="1"/>
      <c r="C649" s="3"/>
      <c r="D649" s="2"/>
      <c r="E649" s="2" t="s">
        <v>14</v>
      </c>
      <c r="F649" s="4">
        <f>AVERAGE(F646:F648)</f>
        <v>0.0037335304694761265</v>
      </c>
      <c r="G649" s="3">
        <f>AVERAGE(G646:G648)</f>
        <v>0.17195757923633437</v>
      </c>
      <c r="H649" s="2"/>
      <c r="I649" s="2"/>
    </row>
    <row r="650" spans="1:9" ht="12.75">
      <c r="A650" s="1"/>
      <c r="B650" s="1"/>
      <c r="C650" s="3"/>
      <c r="D650" s="2"/>
      <c r="E650" s="2"/>
      <c r="F650" s="4"/>
      <c r="G650" s="3"/>
      <c r="H650" s="2"/>
      <c r="I650" s="2"/>
    </row>
    <row r="651" spans="1:9" ht="12.75">
      <c r="A651" s="5" t="s">
        <v>0</v>
      </c>
      <c r="B651" s="5" t="s">
        <v>1</v>
      </c>
      <c r="C651" s="6" t="s">
        <v>15</v>
      </c>
      <c r="D651" s="6" t="s">
        <v>3</v>
      </c>
      <c r="E651" s="6" t="s">
        <v>4</v>
      </c>
      <c r="F651" s="6" t="s">
        <v>5</v>
      </c>
      <c r="G651" s="6" t="s">
        <v>6</v>
      </c>
      <c r="H651" s="6" t="s">
        <v>7</v>
      </c>
      <c r="I651" s="6" t="s">
        <v>8</v>
      </c>
    </row>
    <row r="652" spans="1:9" ht="12.75">
      <c r="A652" s="5" t="s">
        <v>140</v>
      </c>
      <c r="B652" s="5" t="s">
        <v>71</v>
      </c>
      <c r="C652" s="7">
        <f>(3/2)^2*E652</f>
        <v>37.4625</v>
      </c>
      <c r="D652" s="6">
        <v>29.99</v>
      </c>
      <c r="E652" s="6">
        <v>16.65</v>
      </c>
      <c r="F652" s="8">
        <f>-((D652-C652)/D652)</f>
        <v>0.24916638879626543</v>
      </c>
      <c r="G652" s="7">
        <f>C652-D652</f>
        <v>7.4725</v>
      </c>
      <c r="H652" s="6">
        <v>1550</v>
      </c>
      <c r="I652" s="6" t="s">
        <v>137</v>
      </c>
    </row>
    <row r="653" spans="1:9" ht="12.75">
      <c r="A653" s="5"/>
      <c r="B653" s="5" t="s">
        <v>52</v>
      </c>
      <c r="C653" s="7">
        <f>(3/2)^2*E653</f>
        <v>39.0825</v>
      </c>
      <c r="D653" s="6">
        <v>31.72</v>
      </c>
      <c r="E653" s="6">
        <v>17.37</v>
      </c>
      <c r="F653" s="8">
        <f>-((D653-C653)/D653)</f>
        <v>0.23210907944514517</v>
      </c>
      <c r="G653" s="7">
        <f>C653-D653</f>
        <v>7.362500000000004</v>
      </c>
      <c r="H653" s="6">
        <v>1550</v>
      </c>
      <c r="I653" s="6" t="s">
        <v>137</v>
      </c>
    </row>
    <row r="654" spans="1:9" ht="12.75">
      <c r="A654" s="5"/>
      <c r="B654" s="5" t="s">
        <v>51</v>
      </c>
      <c r="C654" s="7">
        <f>(3/2)^2*E654</f>
        <v>27.315</v>
      </c>
      <c r="D654" s="6">
        <v>22.92</v>
      </c>
      <c r="E654" s="6">
        <v>12.14</v>
      </c>
      <c r="F654" s="8">
        <f>-((D654-C654)/D654)</f>
        <v>0.19175392670157065</v>
      </c>
      <c r="G654" s="7">
        <f>C654-D654</f>
        <v>4.395</v>
      </c>
      <c r="H654" s="6">
        <v>1550</v>
      </c>
      <c r="I654" s="6" t="s">
        <v>137</v>
      </c>
    </row>
    <row r="655" spans="1:9" ht="12.75">
      <c r="A655" s="5"/>
      <c r="B655" s="5"/>
      <c r="C655" s="7"/>
      <c r="D655" s="6"/>
      <c r="E655" s="6" t="s">
        <v>14</v>
      </c>
      <c r="F655" s="8">
        <f>AVERAGE(F652:F654)</f>
        <v>0.2243431316476604</v>
      </c>
      <c r="G655" s="7">
        <f>AVERAGE(G652:G654)</f>
        <v>6.410000000000001</v>
      </c>
      <c r="H655" s="6"/>
      <c r="I655" s="6"/>
    </row>
    <row r="656" spans="4:8" ht="12.75">
      <c r="D656" s="6"/>
      <c r="E656" s="6"/>
      <c r="F656" s="6"/>
      <c r="G656" s="28"/>
      <c r="H656" s="6"/>
    </row>
    <row r="657" spans="1:9" ht="12.75">
      <c r="A657" s="20" t="s">
        <v>0</v>
      </c>
      <c r="B657" s="20" t="s">
        <v>1</v>
      </c>
      <c r="C657" s="16" t="s">
        <v>141</v>
      </c>
      <c r="D657" s="16" t="s">
        <v>73</v>
      </c>
      <c r="E657" s="16" t="s">
        <v>3</v>
      </c>
      <c r="F657" s="16" t="s">
        <v>5</v>
      </c>
      <c r="G657" s="16" t="s">
        <v>6</v>
      </c>
      <c r="H657" s="16" t="s">
        <v>7</v>
      </c>
      <c r="I657" s="16" t="s">
        <v>8</v>
      </c>
    </row>
    <row r="658" spans="1:9" ht="12.75">
      <c r="A658" s="20" t="s">
        <v>140</v>
      </c>
      <c r="B658" s="20" t="s">
        <v>42</v>
      </c>
      <c r="C658" s="21">
        <f>(4/3)^1.6*E658</f>
        <v>31.912545336386938</v>
      </c>
      <c r="D658" s="16">
        <v>31.2</v>
      </c>
      <c r="E658" s="16">
        <v>20.14</v>
      </c>
      <c r="F658" s="22">
        <f>-((D658-C658)/D658)</f>
        <v>0.02283799155086341</v>
      </c>
      <c r="G658" s="21">
        <f>C658-D658</f>
        <v>0.7125453363869383</v>
      </c>
      <c r="H658" s="16">
        <v>1550</v>
      </c>
      <c r="I658" s="16" t="s">
        <v>137</v>
      </c>
    </row>
    <row r="659" spans="2:9" ht="12.75">
      <c r="B659" s="15" t="s">
        <v>35</v>
      </c>
      <c r="C659" s="21">
        <f>(4/3)^1.6*E659</f>
        <v>25.273341515162446</v>
      </c>
      <c r="D659" s="16">
        <v>25.82</v>
      </c>
      <c r="E659" s="16">
        <v>15.95</v>
      </c>
      <c r="F659" s="22">
        <f>-((D659-C659)/D659)</f>
        <v>-0.021171901039409528</v>
      </c>
      <c r="G659" s="21">
        <f>C659-D659</f>
        <v>-0.546658484837554</v>
      </c>
      <c r="H659" s="16">
        <v>1550</v>
      </c>
      <c r="I659" s="16" t="s">
        <v>137</v>
      </c>
    </row>
    <row r="660" spans="1:9" ht="12.75">
      <c r="A660" s="5"/>
      <c r="B660" s="23"/>
      <c r="C660" s="24"/>
      <c r="D660" s="18"/>
      <c r="E660" s="16" t="s">
        <v>14</v>
      </c>
      <c r="F660" s="22">
        <f>AVERAGE(F658:F659)</f>
        <v>0.0008330452557269406</v>
      </c>
      <c r="G660" s="21">
        <f>AVERAGE(G658:G659)</f>
        <v>0.08294342577469216</v>
      </c>
      <c r="H660" s="18"/>
      <c r="I660" s="18"/>
    </row>
    <row r="661" spans="1:9" ht="12.75">
      <c r="A661" s="5"/>
      <c r="B661" s="23"/>
      <c r="C661" s="24"/>
      <c r="D661" s="18"/>
      <c r="E661" s="16"/>
      <c r="F661" s="22"/>
      <c r="G661" s="21"/>
      <c r="H661" s="18"/>
      <c r="I661" s="18"/>
    </row>
    <row r="662" spans="1:9" ht="12.75">
      <c r="A662" s="23" t="s">
        <v>0</v>
      </c>
      <c r="B662" s="23" t="s">
        <v>1</v>
      </c>
      <c r="C662" s="18" t="s">
        <v>74</v>
      </c>
      <c r="D662" s="18" t="s">
        <v>73</v>
      </c>
      <c r="E662" s="18" t="s">
        <v>3</v>
      </c>
      <c r="F662" s="18" t="s">
        <v>5</v>
      </c>
      <c r="G662" s="18" t="s">
        <v>6</v>
      </c>
      <c r="H662" s="18" t="s">
        <v>7</v>
      </c>
      <c r="I662" s="18" t="s">
        <v>8</v>
      </c>
    </row>
    <row r="663" spans="1:9" ht="12.75">
      <c r="A663" s="23" t="s">
        <v>140</v>
      </c>
      <c r="B663" s="23" t="s">
        <v>42</v>
      </c>
      <c r="C663" s="24">
        <f>(4/3)^2*E663</f>
        <v>35.80444444444444</v>
      </c>
      <c r="D663" s="18">
        <v>31.2</v>
      </c>
      <c r="E663" s="18">
        <v>20.14</v>
      </c>
      <c r="F663" s="25">
        <f>-((D663-C663)/D663)</f>
        <v>0.14757834757834754</v>
      </c>
      <c r="G663" s="24">
        <f>C663-D663</f>
        <v>4.604444444444443</v>
      </c>
      <c r="H663" s="18">
        <v>1550</v>
      </c>
      <c r="I663" s="18" t="s">
        <v>137</v>
      </c>
    </row>
    <row r="664" spans="1:9" ht="12.75">
      <c r="A664" s="5"/>
      <c r="B664" s="17" t="s">
        <v>35</v>
      </c>
      <c r="C664" s="24">
        <f>(4/3)^2*E664</f>
        <v>28.355555555555554</v>
      </c>
      <c r="D664" s="18">
        <v>25.82</v>
      </c>
      <c r="E664" s="18">
        <v>15.95</v>
      </c>
      <c r="F664" s="25">
        <f>-((D664-C664)/D664)</f>
        <v>0.09820122213615623</v>
      </c>
      <c r="G664" s="24">
        <f>C664-D664</f>
        <v>2.535555555555554</v>
      </c>
      <c r="H664" s="18">
        <v>1550</v>
      </c>
      <c r="I664" s="18" t="s">
        <v>137</v>
      </c>
    </row>
    <row r="665" spans="1:9" ht="12.75">
      <c r="A665" s="5"/>
      <c r="B665" s="23"/>
      <c r="C665" s="24"/>
      <c r="D665" s="18"/>
      <c r="E665" s="18" t="s">
        <v>14</v>
      </c>
      <c r="F665" s="25">
        <f>AVERAGE(F663:F664)</f>
        <v>0.12288978485725188</v>
      </c>
      <c r="G665" s="24">
        <f>AVERAGE(G663:G664)</f>
        <v>3.5699999999999985</v>
      </c>
      <c r="H665" s="18"/>
      <c r="I665" s="18"/>
    </row>
    <row r="666" spans="1:9" ht="12.75">
      <c r="A666" s="5"/>
      <c r="B666" s="23"/>
      <c r="C666" s="24"/>
      <c r="D666" s="18"/>
      <c r="E666" s="18"/>
      <c r="F666" s="25"/>
      <c r="G666" s="24"/>
      <c r="H666" s="18"/>
      <c r="I666" s="18"/>
    </row>
    <row r="667" spans="1:9" ht="12.75">
      <c r="A667" s="1" t="s">
        <v>0</v>
      </c>
      <c r="B667" s="1" t="s">
        <v>1</v>
      </c>
      <c r="C667" s="2" t="s">
        <v>142</v>
      </c>
      <c r="D667" s="2" t="s">
        <v>3</v>
      </c>
      <c r="E667" s="2" t="s">
        <v>4</v>
      </c>
      <c r="F667" s="2" t="s">
        <v>5</v>
      </c>
      <c r="G667" s="2" t="s">
        <v>6</v>
      </c>
      <c r="H667" s="2" t="s">
        <v>7</v>
      </c>
      <c r="I667" s="2" t="s">
        <v>8</v>
      </c>
    </row>
    <row r="668" spans="1:9" ht="12.75">
      <c r="A668" s="1" t="s">
        <v>143</v>
      </c>
      <c r="B668" s="1" t="s">
        <v>55</v>
      </c>
      <c r="C668" s="3">
        <f>(3/2)^1.41*E668</f>
        <v>25.16997320388871</v>
      </c>
      <c r="D668" s="2">
        <v>24.39</v>
      </c>
      <c r="E668" s="2">
        <v>14.21</v>
      </c>
      <c r="F668" s="4">
        <f>-((D668-C668)/D668)</f>
        <v>0.03197922115164857</v>
      </c>
      <c r="G668" s="3">
        <f>C668-D668</f>
        <v>0.7799732038887086</v>
      </c>
      <c r="H668" s="2">
        <v>1180</v>
      </c>
      <c r="I668" s="2" t="s">
        <v>144</v>
      </c>
    </row>
    <row r="669" spans="1:9" ht="12.75">
      <c r="A669" s="1"/>
      <c r="B669" s="1" t="s">
        <v>56</v>
      </c>
      <c r="C669" s="3">
        <f>(3/2)^1.41*E669</f>
        <v>19.696699650052246</v>
      </c>
      <c r="D669" s="2">
        <v>20.11</v>
      </c>
      <c r="E669" s="2">
        <v>11.12</v>
      </c>
      <c r="F669" s="4">
        <f>-((D669-C669)/D669)</f>
        <v>-0.02055198159859542</v>
      </c>
      <c r="G669" s="3">
        <f>C669-D669</f>
        <v>-0.4133003499477539</v>
      </c>
      <c r="H669" s="2">
        <v>1180</v>
      </c>
      <c r="I669" s="2" t="s">
        <v>144</v>
      </c>
    </row>
    <row r="670" spans="1:9" ht="12.75">
      <c r="A670" s="1"/>
      <c r="B670" s="1" t="s">
        <v>98</v>
      </c>
      <c r="C670" s="3">
        <f>(3/2)^1.41*E670</f>
        <v>26.551576236895972</v>
      </c>
      <c r="D670" s="2">
        <v>25.89</v>
      </c>
      <c r="E670" s="2">
        <v>14.99</v>
      </c>
      <c r="F670" s="4">
        <f>-((D670-C670)/D670)</f>
        <v>0.025553350208419135</v>
      </c>
      <c r="G670" s="3">
        <f>C670-D670</f>
        <v>0.6615762368959714</v>
      </c>
      <c r="H670" s="2">
        <v>1180</v>
      </c>
      <c r="I670" s="2" t="s">
        <v>144</v>
      </c>
    </row>
    <row r="671" spans="1:9" ht="12.75">
      <c r="A671" s="1"/>
      <c r="B671" s="1" t="s">
        <v>103</v>
      </c>
      <c r="C671" s="3">
        <f>(3/2)^1.41*E671</f>
        <v>25.347101797864</v>
      </c>
      <c r="D671" s="2">
        <v>24.67</v>
      </c>
      <c r="E671" s="2">
        <v>14.31</v>
      </c>
      <c r="F671" s="4">
        <f>-((D671-C671)/D671)</f>
        <v>0.02744636391828121</v>
      </c>
      <c r="G671" s="3">
        <f>C671-D671</f>
        <v>0.6771017978639975</v>
      </c>
      <c r="H671" s="2">
        <v>1180</v>
      </c>
      <c r="I671" s="2" t="s">
        <v>144</v>
      </c>
    </row>
    <row r="672" spans="1:9" ht="12.75">
      <c r="A672" s="1"/>
      <c r="B672" s="1" t="s">
        <v>104</v>
      </c>
      <c r="C672" s="3">
        <f>(3/2)^1.41*E672</f>
        <v>22.583895731849474</v>
      </c>
      <c r="D672" s="2">
        <v>22.19</v>
      </c>
      <c r="E672" s="2">
        <v>12.75</v>
      </c>
      <c r="F672" s="4">
        <f>-((D672-C672)/D672)</f>
        <v>0.01775104695130564</v>
      </c>
      <c r="G672" s="3">
        <f>C672-D672</f>
        <v>0.39389573184947224</v>
      </c>
      <c r="H672" s="2">
        <v>1180</v>
      </c>
      <c r="I672" s="2" t="s">
        <v>144</v>
      </c>
    </row>
    <row r="673" spans="1:9" ht="12.75">
      <c r="A673" s="1"/>
      <c r="B673" s="1" t="s">
        <v>105</v>
      </c>
      <c r="C673" s="3">
        <f>(3/2)^1.41*E673</f>
        <v>20.476065463543524</v>
      </c>
      <c r="D673" s="2">
        <v>21.11</v>
      </c>
      <c r="E673" s="2">
        <v>11.56</v>
      </c>
      <c r="F673" s="4">
        <f>-((D673-C673)/D673)</f>
        <v>-0.030030058572073696</v>
      </c>
      <c r="G673" s="3">
        <f>C673-D673</f>
        <v>-0.6339345364564757</v>
      </c>
      <c r="H673" s="2">
        <v>1180</v>
      </c>
      <c r="I673" s="2" t="s">
        <v>144</v>
      </c>
    </row>
    <row r="674" spans="1:9" ht="12.75">
      <c r="A674" s="1"/>
      <c r="B674" s="1" t="s">
        <v>87</v>
      </c>
      <c r="C674" s="3">
        <f>(3/2)^1.41*E674</f>
        <v>24.63858742196284</v>
      </c>
      <c r="D674" s="2">
        <v>25.08</v>
      </c>
      <c r="E674" s="2">
        <v>13.91</v>
      </c>
      <c r="F674" s="4">
        <f>-((D674-C674)/D674)</f>
        <v>-0.017600182537366792</v>
      </c>
      <c r="G674" s="3">
        <f>C674-D674</f>
        <v>-0.44141257803715916</v>
      </c>
      <c r="H674" s="2">
        <v>1180</v>
      </c>
      <c r="I674" s="2" t="s">
        <v>144</v>
      </c>
    </row>
    <row r="675" spans="1:9" ht="12.75">
      <c r="A675" s="1"/>
      <c r="B675" s="1" t="s">
        <v>60</v>
      </c>
      <c r="C675" s="3">
        <f>(3/2)^1.41*E675</f>
        <v>26.640140533883613</v>
      </c>
      <c r="D675" s="2">
        <v>26.94</v>
      </c>
      <c r="E675" s="2">
        <v>15.04</v>
      </c>
      <c r="F675" s="4">
        <f>-((D675-C675)/D675)</f>
        <v>-0.011130640910036666</v>
      </c>
      <c r="G675" s="3">
        <f>C675-D675</f>
        <v>-0.2998594661163878</v>
      </c>
      <c r="H675" s="2">
        <v>1180</v>
      </c>
      <c r="I675" s="2" t="s">
        <v>144</v>
      </c>
    </row>
    <row r="676" spans="1:9" ht="12.75">
      <c r="A676" s="1"/>
      <c r="B676" s="1"/>
      <c r="C676" s="3"/>
      <c r="D676" s="2"/>
      <c r="E676" s="2" t="s">
        <v>14</v>
      </c>
      <c r="F676" s="4">
        <f>AVERAGE(F668:F675)</f>
        <v>0.0029271398264477475</v>
      </c>
      <c r="G676" s="3">
        <f>AVERAGE(G668:G675)</f>
        <v>0.09050500499254666</v>
      </c>
      <c r="H676" s="2"/>
      <c r="I676" s="2"/>
    </row>
    <row r="677" spans="1:9" ht="12.75">
      <c r="A677" s="1"/>
      <c r="B677" s="1"/>
      <c r="C677" s="3"/>
      <c r="D677" s="2"/>
      <c r="E677" s="2"/>
      <c r="F677" s="4"/>
      <c r="G677" s="3"/>
      <c r="H677" s="2"/>
      <c r="I677" s="2"/>
    </row>
    <row r="678" spans="1:9" ht="12.75">
      <c r="A678" s="5" t="s">
        <v>0</v>
      </c>
      <c r="B678" s="5" t="s">
        <v>1</v>
      </c>
      <c r="C678" s="6" t="s">
        <v>15</v>
      </c>
      <c r="D678" s="6" t="s">
        <v>3</v>
      </c>
      <c r="E678" s="6" t="s">
        <v>4</v>
      </c>
      <c r="F678" s="6" t="s">
        <v>5</v>
      </c>
      <c r="G678" s="6" t="s">
        <v>6</v>
      </c>
      <c r="H678" s="6" t="s">
        <v>7</v>
      </c>
      <c r="I678" s="6" t="s">
        <v>8</v>
      </c>
    </row>
    <row r="679" spans="1:9" ht="12.75">
      <c r="A679" s="5" t="s">
        <v>143</v>
      </c>
      <c r="B679" s="5" t="s">
        <v>55</v>
      </c>
      <c r="C679" s="7">
        <f>(3/2)^2*E679</f>
        <v>31.972500000000004</v>
      </c>
      <c r="D679" s="6">
        <v>24.39</v>
      </c>
      <c r="E679" s="6">
        <v>14.21</v>
      </c>
      <c r="F679" s="8">
        <f>-((D679-C679)/D679)</f>
        <v>0.3108856088560887</v>
      </c>
      <c r="G679" s="7">
        <f>C679-D679</f>
        <v>7.582500000000003</v>
      </c>
      <c r="H679" s="6">
        <v>1180</v>
      </c>
      <c r="I679" s="6" t="s">
        <v>144</v>
      </c>
    </row>
    <row r="680" spans="1:9" ht="12.75">
      <c r="A680" s="5"/>
      <c r="B680" s="5" t="s">
        <v>56</v>
      </c>
      <c r="C680" s="7">
        <f>(3/2)^2*E680</f>
        <v>25.02</v>
      </c>
      <c r="D680" s="6">
        <v>20.11</v>
      </c>
      <c r="E680" s="6">
        <v>11.12</v>
      </c>
      <c r="F680" s="8">
        <f>-((D680-C680)/D680)</f>
        <v>0.24415713575335654</v>
      </c>
      <c r="G680" s="7">
        <f>C680-D680</f>
        <v>4.91</v>
      </c>
      <c r="H680" s="6">
        <v>1180</v>
      </c>
      <c r="I680" s="6" t="s">
        <v>144</v>
      </c>
    </row>
    <row r="681" spans="1:9" ht="12.75">
      <c r="A681" s="5"/>
      <c r="B681" s="5" t="s">
        <v>98</v>
      </c>
      <c r="C681" s="7">
        <f>(3/2)^2*E681</f>
        <v>33.7275</v>
      </c>
      <c r="D681" s="6">
        <v>25.89</v>
      </c>
      <c r="E681" s="6">
        <v>14.99</v>
      </c>
      <c r="F681" s="8">
        <f>-((D681-C681)/D681)</f>
        <v>0.3027230590961761</v>
      </c>
      <c r="G681" s="7">
        <f>C681-D681</f>
        <v>7.837499999999999</v>
      </c>
      <c r="H681" s="6">
        <v>1180</v>
      </c>
      <c r="I681" s="6" t="s">
        <v>144</v>
      </c>
    </row>
    <row r="682" spans="1:9" ht="12.75">
      <c r="A682" s="5"/>
      <c r="B682" s="5" t="s">
        <v>103</v>
      </c>
      <c r="C682" s="7">
        <f>(3/2)^2*E682</f>
        <v>32.1975</v>
      </c>
      <c r="D682" s="6">
        <v>24.67</v>
      </c>
      <c r="E682" s="6">
        <v>14.31</v>
      </c>
      <c r="F682" s="8">
        <f>-((D682-C682)/D682)</f>
        <v>0.3051276854479123</v>
      </c>
      <c r="G682" s="7">
        <f>C682-D682</f>
        <v>7.527499999999996</v>
      </c>
      <c r="H682" s="6">
        <v>1180</v>
      </c>
      <c r="I682" s="6" t="s">
        <v>144</v>
      </c>
    </row>
    <row r="683" spans="1:9" ht="12.75">
      <c r="A683" s="5"/>
      <c r="B683" s="5" t="s">
        <v>104</v>
      </c>
      <c r="C683" s="7">
        <f>(3/2)^2*E683</f>
        <v>28.6875</v>
      </c>
      <c r="D683" s="6">
        <v>22.19</v>
      </c>
      <c r="E683" s="6">
        <v>12.75</v>
      </c>
      <c r="F683" s="8">
        <f>-((D683-C683)/D683)</f>
        <v>0.2928120775123929</v>
      </c>
      <c r="G683" s="7">
        <f>C683-D683</f>
        <v>6.497499999999999</v>
      </c>
      <c r="H683" s="6">
        <v>1180</v>
      </c>
      <c r="I683" s="6" t="s">
        <v>144</v>
      </c>
    </row>
    <row r="684" spans="1:9" ht="12.75">
      <c r="A684" s="5"/>
      <c r="B684" s="5" t="s">
        <v>105</v>
      </c>
      <c r="C684" s="7">
        <f>(3/2)^2*E684</f>
        <v>26.01</v>
      </c>
      <c r="D684" s="6">
        <v>21.11</v>
      </c>
      <c r="E684" s="6">
        <v>11.56</v>
      </c>
      <c r="F684" s="8">
        <f>-((D684-C684)/D684)</f>
        <v>0.23211747986736156</v>
      </c>
      <c r="G684" s="7">
        <f>C684-D684</f>
        <v>4.900000000000002</v>
      </c>
      <c r="H684" s="6">
        <v>1180</v>
      </c>
      <c r="I684" s="6" t="s">
        <v>144</v>
      </c>
    </row>
    <row r="685" spans="1:9" ht="12.75">
      <c r="A685" s="5"/>
      <c r="B685" s="5" t="s">
        <v>87</v>
      </c>
      <c r="C685" s="7">
        <f>(3/2)^2*E685</f>
        <v>31.2975</v>
      </c>
      <c r="D685" s="6">
        <v>25.08</v>
      </c>
      <c r="E685" s="6">
        <v>13.91</v>
      </c>
      <c r="F685" s="8">
        <f>-((D685-C685)/D685)</f>
        <v>0.24790669856459335</v>
      </c>
      <c r="G685" s="7">
        <f>C685-D685</f>
        <v>6.217500000000001</v>
      </c>
      <c r="H685" s="6">
        <v>1180</v>
      </c>
      <c r="I685" s="6" t="s">
        <v>144</v>
      </c>
    </row>
    <row r="686" spans="1:9" ht="12.75">
      <c r="A686" s="5"/>
      <c r="B686" s="5" t="s">
        <v>60</v>
      </c>
      <c r="C686" s="7">
        <f>(3/2)^2*E686</f>
        <v>33.839999999999996</v>
      </c>
      <c r="D686" s="6">
        <v>26.94</v>
      </c>
      <c r="E686" s="6">
        <v>15.04</v>
      </c>
      <c r="F686" s="8">
        <f>-((D686-C686)/D686)</f>
        <v>0.25612472160356325</v>
      </c>
      <c r="G686" s="7">
        <f>C686-D686</f>
        <v>6.899999999999995</v>
      </c>
      <c r="H686" s="6">
        <v>1180</v>
      </c>
      <c r="I686" s="6" t="s">
        <v>144</v>
      </c>
    </row>
    <row r="687" spans="1:9" ht="12.75">
      <c r="A687" s="5"/>
      <c r="B687" s="5"/>
      <c r="C687" s="7"/>
      <c r="D687" s="6"/>
      <c r="E687" s="6" t="s">
        <v>14</v>
      </c>
      <c r="F687" s="8">
        <f>AVERAGE(F679:F686)</f>
        <v>0.27398180833768054</v>
      </c>
      <c r="G687" s="7">
        <f>AVERAGE(G679:G686)</f>
        <v>6.546562499999999</v>
      </c>
      <c r="H687" s="6"/>
      <c r="I687" s="6"/>
    </row>
    <row r="688" spans="2:8" ht="12.75">
      <c r="B688" s="15"/>
      <c r="C688" s="28"/>
      <c r="D688" s="16"/>
      <c r="E688" s="16"/>
      <c r="F688" s="29"/>
      <c r="G688" s="28"/>
      <c r="H688" s="16"/>
    </row>
    <row r="689" spans="1:9" ht="12.75">
      <c r="A689" s="20" t="s">
        <v>0</v>
      </c>
      <c r="B689" s="20" t="s">
        <v>1</v>
      </c>
      <c r="C689" s="16" t="s">
        <v>145</v>
      </c>
      <c r="D689" s="16" t="s">
        <v>73</v>
      </c>
      <c r="E689" s="16" t="s">
        <v>3</v>
      </c>
      <c r="F689" s="16" t="s">
        <v>5</v>
      </c>
      <c r="G689" s="16" t="s">
        <v>6</v>
      </c>
      <c r="H689" s="16" t="s">
        <v>7</v>
      </c>
      <c r="I689" s="16" t="s">
        <v>8</v>
      </c>
    </row>
    <row r="690" spans="1:9" ht="12.75">
      <c r="A690" s="20" t="s">
        <v>143</v>
      </c>
      <c r="B690" s="20" t="s">
        <v>71</v>
      </c>
      <c r="C690" s="21">
        <f>(4/3)^1.5*E690</f>
        <v>24.787571557207933</v>
      </c>
      <c r="D690" s="16">
        <v>24.27</v>
      </c>
      <c r="E690" s="16">
        <v>16.1</v>
      </c>
      <c r="F690" s="22">
        <f>-((D690-C690)/D690)</f>
        <v>0.02132556890020327</v>
      </c>
      <c r="G690" s="21">
        <f>C690-D690</f>
        <v>0.5175715572079334</v>
      </c>
      <c r="H690" s="16">
        <v>1180</v>
      </c>
      <c r="I690" s="16" t="s">
        <v>144</v>
      </c>
    </row>
    <row r="691" spans="2:9" ht="12.75">
      <c r="B691" s="15" t="s">
        <v>52</v>
      </c>
      <c r="C691" s="21">
        <f>(4/3)^1.5*E691</f>
        <v>25.71133198791133</v>
      </c>
      <c r="D691" s="16">
        <v>25.52</v>
      </c>
      <c r="E691" s="16">
        <v>16.7</v>
      </c>
      <c r="F691" s="22">
        <f>-((D691-C691)/D691)</f>
        <v>0.007497334949503509</v>
      </c>
      <c r="G691" s="21">
        <f>C691-D691</f>
        <v>0.19133198791132955</v>
      </c>
      <c r="H691" s="16">
        <v>1180</v>
      </c>
      <c r="I691" s="16" t="s">
        <v>144</v>
      </c>
    </row>
    <row r="692" spans="2:9" ht="12.75">
      <c r="B692" s="15" t="s">
        <v>51</v>
      </c>
      <c r="C692" s="21">
        <f>(4/3)^1.5*E692</f>
        <v>17.84397231975403</v>
      </c>
      <c r="D692" s="16">
        <v>18.33</v>
      </c>
      <c r="E692" s="16">
        <v>11.59</v>
      </c>
      <c r="F692" s="22">
        <f>-((D692-C692)/D692)</f>
        <v>-0.026515421726457614</v>
      </c>
      <c r="G692" s="21">
        <f>C692-D692</f>
        <v>-0.486027680245968</v>
      </c>
      <c r="H692" s="16">
        <v>1180</v>
      </c>
      <c r="I692" s="16" t="s">
        <v>144</v>
      </c>
    </row>
    <row r="693" spans="1:9" ht="12.75">
      <c r="A693" s="5"/>
      <c r="B693" s="23"/>
      <c r="C693" s="24"/>
      <c r="D693" s="18"/>
      <c r="E693" s="16" t="s">
        <v>14</v>
      </c>
      <c r="F693" s="22">
        <f>AVERAGE(F690:F692)</f>
        <v>0.0007691607077497213</v>
      </c>
      <c r="G693" s="21">
        <f>AVERAGE(G690:G692)</f>
        <v>0.07429195495776497</v>
      </c>
      <c r="H693" s="18"/>
      <c r="I693" s="18"/>
    </row>
    <row r="694" spans="1:9" ht="12.75">
      <c r="A694" s="5"/>
      <c r="B694" s="23"/>
      <c r="C694" s="24"/>
      <c r="D694" s="18"/>
      <c r="E694" s="16"/>
      <c r="F694" s="22"/>
      <c r="G694" s="21"/>
      <c r="H694" s="18"/>
      <c r="I694" s="18"/>
    </row>
    <row r="695" spans="1:9" ht="12.75">
      <c r="A695" s="23" t="s">
        <v>0</v>
      </c>
      <c r="B695" s="23" t="s">
        <v>1</v>
      </c>
      <c r="C695" s="18" t="s">
        <v>74</v>
      </c>
      <c r="D695" s="18" t="s">
        <v>73</v>
      </c>
      <c r="E695" s="18" t="s">
        <v>3</v>
      </c>
      <c r="F695" s="18" t="s">
        <v>5</v>
      </c>
      <c r="G695" s="18" t="s">
        <v>6</v>
      </c>
      <c r="H695" s="18" t="s">
        <v>7</v>
      </c>
      <c r="I695" s="18" t="s">
        <v>8</v>
      </c>
    </row>
    <row r="696" spans="1:9" ht="12.75">
      <c r="A696" s="23" t="s">
        <v>143</v>
      </c>
      <c r="B696" s="23" t="s">
        <v>71</v>
      </c>
      <c r="C696" s="24">
        <f>(4/3)^2*E696</f>
        <v>28.622222222222224</v>
      </c>
      <c r="D696" s="18">
        <v>24.27</v>
      </c>
      <c r="E696" s="18">
        <v>16.1</v>
      </c>
      <c r="F696" s="25">
        <f>-((D696-C696)/D696)</f>
        <v>0.17932518426956012</v>
      </c>
      <c r="G696" s="24">
        <f>C696-D696</f>
        <v>4.352222222222224</v>
      </c>
      <c r="H696" s="18">
        <v>1180</v>
      </c>
      <c r="I696" s="18" t="s">
        <v>144</v>
      </c>
    </row>
    <row r="697" spans="1:9" ht="12.75">
      <c r="A697" s="5"/>
      <c r="B697" s="17" t="s">
        <v>52</v>
      </c>
      <c r="C697" s="24">
        <f>(4/3)^2*E697</f>
        <v>29.688888888888886</v>
      </c>
      <c r="D697" s="18">
        <v>25.52</v>
      </c>
      <c r="E697" s="18">
        <v>16.7</v>
      </c>
      <c r="F697" s="25">
        <f>-((D697-C697)/D697)</f>
        <v>0.16335771508185293</v>
      </c>
      <c r="G697" s="24">
        <f>C697-D697</f>
        <v>4.168888888888887</v>
      </c>
      <c r="H697" s="18">
        <v>1180</v>
      </c>
      <c r="I697" s="18" t="s">
        <v>144</v>
      </c>
    </row>
    <row r="698" spans="1:9" ht="12.75">
      <c r="A698" s="5"/>
      <c r="B698" s="17" t="s">
        <v>51</v>
      </c>
      <c r="C698" s="24">
        <f>(4/3)^2*E698</f>
        <v>20.604444444444443</v>
      </c>
      <c r="D698" s="18">
        <v>18.33</v>
      </c>
      <c r="E698" s="18">
        <v>11.59</v>
      </c>
      <c r="F698" s="25">
        <f>-((D698-C698)/D698)</f>
        <v>0.12408316663635816</v>
      </c>
      <c r="G698" s="24">
        <f>C698-D698</f>
        <v>2.2744444444444447</v>
      </c>
      <c r="H698" s="18">
        <v>1180</v>
      </c>
      <c r="I698" s="18" t="s">
        <v>144</v>
      </c>
    </row>
    <row r="699" spans="1:9" ht="12.75">
      <c r="A699" s="5"/>
      <c r="B699" s="23"/>
      <c r="C699" s="24"/>
      <c r="D699" s="18"/>
      <c r="E699" s="18" t="s">
        <v>14</v>
      </c>
      <c r="F699" s="25">
        <f>AVERAGE(F696:F698)</f>
        <v>0.1555886886625904</v>
      </c>
      <c r="G699" s="24">
        <f>AVERAGE(G696:G698)</f>
        <v>3.5985185185185187</v>
      </c>
      <c r="H699" s="18"/>
      <c r="I699" s="18"/>
    </row>
    <row r="700" spans="1:9" ht="12.75">
      <c r="A700" s="5"/>
      <c r="B700" s="23"/>
      <c r="C700" s="24"/>
      <c r="D700" s="18"/>
      <c r="E700" s="18"/>
      <c r="F700" s="25"/>
      <c r="G700" s="24"/>
      <c r="H700" s="18"/>
      <c r="I700" s="18"/>
    </row>
    <row r="701" spans="1:9" ht="12.75">
      <c r="A701" s="1" t="s">
        <v>0</v>
      </c>
      <c r="B701" s="1" t="s">
        <v>1</v>
      </c>
      <c r="C701" s="2" t="s">
        <v>146</v>
      </c>
      <c r="D701" s="2" t="s">
        <v>3</v>
      </c>
      <c r="E701" s="2" t="s">
        <v>4</v>
      </c>
      <c r="F701" s="2" t="s">
        <v>5</v>
      </c>
      <c r="G701" s="2" t="s">
        <v>6</v>
      </c>
      <c r="H701" s="2" t="s">
        <v>7</v>
      </c>
      <c r="I701" s="2" t="s">
        <v>8</v>
      </c>
    </row>
    <row r="702" spans="1:9" ht="12.75">
      <c r="A702" s="1" t="s">
        <v>147</v>
      </c>
      <c r="B702" s="1" t="s">
        <v>148</v>
      </c>
      <c r="C702" s="3">
        <f>(3/2)^1.45*E702</f>
        <v>19.118633254645342</v>
      </c>
      <c r="D702" s="2">
        <v>18.46</v>
      </c>
      <c r="E702" s="2">
        <v>10.62</v>
      </c>
      <c r="F702" s="4">
        <f>-((D702-C702)/D702)</f>
        <v>0.03567894120505641</v>
      </c>
      <c r="G702" s="3">
        <f>C702-D702</f>
        <v>0.6586332546453413</v>
      </c>
      <c r="H702" s="2">
        <v>960</v>
      </c>
      <c r="I702" s="2" t="s">
        <v>149</v>
      </c>
    </row>
    <row r="703" spans="1:9" ht="12.75">
      <c r="A703" s="1"/>
      <c r="B703" s="1" t="s">
        <v>150</v>
      </c>
      <c r="C703" s="3">
        <f>(3/2)^1.45*E703</f>
        <v>21.080903522777493</v>
      </c>
      <c r="D703" s="2">
        <v>20.36</v>
      </c>
      <c r="E703" s="2">
        <v>11.71</v>
      </c>
      <c r="F703" s="4">
        <f>-((D703-C703)/D703)</f>
        <v>0.03540783510694961</v>
      </c>
      <c r="G703" s="3">
        <f>C703-D703</f>
        <v>0.720903522777494</v>
      </c>
      <c r="H703" s="2">
        <v>960</v>
      </c>
      <c r="I703" s="2" t="s">
        <v>149</v>
      </c>
    </row>
    <row r="704" spans="1:9" ht="12.75">
      <c r="A704" s="1"/>
      <c r="B704" s="1" t="s">
        <v>99</v>
      </c>
      <c r="C704" s="3">
        <f>(3/2)^1.45*E704</f>
        <v>18.63256630749334</v>
      </c>
      <c r="D704" s="2">
        <v>18.31</v>
      </c>
      <c r="E704" s="2">
        <v>10.35</v>
      </c>
      <c r="F704" s="4">
        <f>-((D704-C704)/D704)</f>
        <v>0.017616947432733093</v>
      </c>
      <c r="G704" s="3">
        <f>C704-D704</f>
        <v>0.3225663074933429</v>
      </c>
      <c r="H704" s="2">
        <v>960</v>
      </c>
      <c r="I704" s="2" t="s">
        <v>149</v>
      </c>
    </row>
    <row r="705" spans="1:9" ht="12.75">
      <c r="A705" s="1"/>
      <c r="B705" s="1" t="s">
        <v>100</v>
      </c>
      <c r="C705" s="3">
        <f>(3/2)^1.45*E705</f>
        <v>15.21209519790519</v>
      </c>
      <c r="D705" s="2">
        <v>15.79</v>
      </c>
      <c r="E705" s="2">
        <v>8.45</v>
      </c>
      <c r="F705" s="4">
        <f>-((D705-C705)/D705)</f>
        <v>-0.0365994174854217</v>
      </c>
      <c r="G705" s="3">
        <f>C705-D705</f>
        <v>-0.5779048020948085</v>
      </c>
      <c r="H705" s="2">
        <v>960</v>
      </c>
      <c r="I705" s="2" t="s">
        <v>149</v>
      </c>
    </row>
    <row r="706" spans="1:9" ht="12.75">
      <c r="A706" s="1"/>
      <c r="B706" s="1" t="s">
        <v>60</v>
      </c>
      <c r="C706" s="3">
        <f>(3/2)^1.45*E706</f>
        <v>15.068075361712005</v>
      </c>
      <c r="D706" s="2">
        <v>15.8</v>
      </c>
      <c r="E706" s="2">
        <v>8.37</v>
      </c>
      <c r="F706" s="4">
        <f>-((D706-C706)/D706)</f>
        <v>-0.04632434419544278</v>
      </c>
      <c r="G706" s="3">
        <f>C706-D706</f>
        <v>-0.731924638287996</v>
      </c>
      <c r="H706" s="2">
        <v>960</v>
      </c>
      <c r="I706" s="2" t="s">
        <v>149</v>
      </c>
    </row>
    <row r="707" spans="1:9" ht="12.75">
      <c r="A707" s="1"/>
      <c r="B707" s="1"/>
      <c r="C707" s="3"/>
      <c r="D707" s="2"/>
      <c r="E707" s="2" t="s">
        <v>14</v>
      </c>
      <c r="F707" s="4">
        <f>AVERAGE(F702:F706)</f>
        <v>0.0011559924127749256</v>
      </c>
      <c r="G707" s="3">
        <f>AVERAGE(G702:G706)</f>
        <v>0.07845472890667474</v>
      </c>
      <c r="H707" s="2"/>
      <c r="I707" s="2"/>
    </row>
    <row r="708" spans="1:9" ht="12.75">
      <c r="A708" s="1"/>
      <c r="B708" s="1"/>
      <c r="C708" s="3"/>
      <c r="D708" s="2"/>
      <c r="E708" s="2"/>
      <c r="F708" s="4"/>
      <c r="G708" s="3"/>
      <c r="H708" s="2"/>
      <c r="I708" s="2"/>
    </row>
    <row r="709" spans="1:9" ht="12.75">
      <c r="A709" s="5" t="s">
        <v>0</v>
      </c>
      <c r="B709" s="5" t="s">
        <v>1</v>
      </c>
      <c r="C709" s="6" t="s">
        <v>15</v>
      </c>
      <c r="D709" s="6" t="s">
        <v>3</v>
      </c>
      <c r="E709" s="6" t="s">
        <v>4</v>
      </c>
      <c r="F709" s="6" t="s">
        <v>5</v>
      </c>
      <c r="G709" s="6" t="s">
        <v>6</v>
      </c>
      <c r="H709" s="6" t="s">
        <v>7</v>
      </c>
      <c r="I709" s="6" t="s">
        <v>8</v>
      </c>
    </row>
    <row r="710" spans="1:9" ht="12.75">
      <c r="A710" s="5" t="s">
        <v>147</v>
      </c>
      <c r="B710" s="5" t="s">
        <v>148</v>
      </c>
      <c r="C710" s="7">
        <f>(3/2)^2*E710</f>
        <v>23.895</v>
      </c>
      <c r="D710" s="6">
        <v>18.46</v>
      </c>
      <c r="E710" s="6">
        <v>10.62</v>
      </c>
      <c r="F710" s="8">
        <f>-((D710-C710)/D710)</f>
        <v>0.29442036836403024</v>
      </c>
      <c r="G710" s="7">
        <f>C710-D710</f>
        <v>5.434999999999999</v>
      </c>
      <c r="H710" s="6">
        <v>960</v>
      </c>
      <c r="I710" s="6" t="s">
        <v>149</v>
      </c>
    </row>
    <row r="711" spans="1:9" ht="12.75">
      <c r="A711" s="5"/>
      <c r="B711" s="5" t="s">
        <v>150</v>
      </c>
      <c r="C711" s="7">
        <f>(3/2)^2*E711</f>
        <v>26.347500000000004</v>
      </c>
      <c r="D711" s="6">
        <v>20.36</v>
      </c>
      <c r="E711" s="6">
        <v>11.71</v>
      </c>
      <c r="F711" s="8">
        <f>-((D711-C711)/D711)</f>
        <v>0.29408153241650314</v>
      </c>
      <c r="G711" s="7">
        <f>C711-D711</f>
        <v>5.987500000000004</v>
      </c>
      <c r="H711" s="6">
        <v>960</v>
      </c>
      <c r="I711" s="6" t="s">
        <v>149</v>
      </c>
    </row>
    <row r="712" spans="1:9" ht="12.75">
      <c r="A712" s="5"/>
      <c r="B712" s="5" t="s">
        <v>99</v>
      </c>
      <c r="C712" s="7">
        <f>(3/2)^2*E712</f>
        <v>23.287499999999998</v>
      </c>
      <c r="D712" s="6">
        <v>18.31</v>
      </c>
      <c r="E712" s="6">
        <v>10.35</v>
      </c>
      <c r="F712" s="8">
        <f>-((D712-C712)/D712)</f>
        <v>0.2718459858001092</v>
      </c>
      <c r="G712" s="7">
        <f>C712-D712</f>
        <v>4.977499999999999</v>
      </c>
      <c r="H712" s="6">
        <v>960</v>
      </c>
      <c r="I712" s="6" t="s">
        <v>149</v>
      </c>
    </row>
    <row r="713" spans="1:9" ht="12.75">
      <c r="A713" s="5"/>
      <c r="B713" s="5" t="s">
        <v>100</v>
      </c>
      <c r="C713" s="7">
        <f>(3/2)^2*E713</f>
        <v>19.0125</v>
      </c>
      <c r="D713" s="6">
        <v>15.79</v>
      </c>
      <c r="E713" s="6">
        <v>8.45</v>
      </c>
      <c r="F713" s="8">
        <f>-((D713-C713)/D713)</f>
        <v>0.20408486383787208</v>
      </c>
      <c r="G713" s="7">
        <f>C713-D713</f>
        <v>3.2225</v>
      </c>
      <c r="H713" s="6">
        <v>960</v>
      </c>
      <c r="I713" s="6" t="s">
        <v>149</v>
      </c>
    </row>
    <row r="714" spans="1:9" ht="12.75">
      <c r="A714" s="5"/>
      <c r="B714" s="5" t="s">
        <v>60</v>
      </c>
      <c r="C714" s="7">
        <f>(3/2)^2*E714</f>
        <v>18.8325</v>
      </c>
      <c r="D714" s="6">
        <v>15.8</v>
      </c>
      <c r="E714" s="6">
        <v>8.37</v>
      </c>
      <c r="F714" s="8">
        <f>-((D714-C714)/D714)</f>
        <v>0.19193037974683536</v>
      </c>
      <c r="G714" s="7">
        <f>C714-D714</f>
        <v>3.032499999999999</v>
      </c>
      <c r="H714" s="6">
        <v>960</v>
      </c>
      <c r="I714" s="6" t="s">
        <v>149</v>
      </c>
    </row>
    <row r="715" spans="1:9" ht="12.75">
      <c r="A715" s="5"/>
      <c r="B715" s="5"/>
      <c r="C715" s="7"/>
      <c r="D715" s="6"/>
      <c r="E715" s="6" t="s">
        <v>14</v>
      </c>
      <c r="F715" s="8">
        <f>AVERAGE(F710:F714)</f>
        <v>0.25127262603307</v>
      </c>
      <c r="G715" s="7">
        <f>AVERAGE(G710:G714)</f>
        <v>4.531000000000001</v>
      </c>
      <c r="H715" s="6"/>
      <c r="I715" s="6"/>
    </row>
    <row r="716" spans="1:9" ht="12.75">
      <c r="A716" s="5"/>
      <c r="B716" s="5"/>
      <c r="C716" s="7"/>
      <c r="D716" s="6"/>
      <c r="E716" s="6"/>
      <c r="F716" s="8"/>
      <c r="G716" s="7"/>
      <c r="H716" s="6"/>
      <c r="I716" s="6"/>
    </row>
    <row r="717" spans="1:9" ht="12.75">
      <c r="A717" s="30" t="s">
        <v>0</v>
      </c>
      <c r="B717" s="30" t="s">
        <v>1</v>
      </c>
      <c r="C717" s="31" t="s">
        <v>151</v>
      </c>
      <c r="D717" s="31" t="s">
        <v>152</v>
      </c>
      <c r="E717" s="31" t="s">
        <v>153</v>
      </c>
      <c r="F717" s="31" t="s">
        <v>5</v>
      </c>
      <c r="G717" s="31" t="s">
        <v>6</v>
      </c>
      <c r="H717" s="31" t="s">
        <v>7</v>
      </c>
      <c r="I717" s="31" t="s">
        <v>8</v>
      </c>
    </row>
    <row r="718" spans="1:9" ht="12.75">
      <c r="A718" s="30" t="s">
        <v>154</v>
      </c>
      <c r="B718" s="30" t="s">
        <v>155</v>
      </c>
      <c r="C718" s="32">
        <f>(8/7)^1.3*E718</f>
        <v>13.08525577798009</v>
      </c>
      <c r="D718" s="31">
        <v>13.4</v>
      </c>
      <c r="E718" s="31">
        <v>11</v>
      </c>
      <c r="F718" s="33">
        <f>-((D718-C718)/D718)</f>
        <v>-0.0234883747776053</v>
      </c>
      <c r="G718" s="32">
        <f>C718-D718</f>
        <v>-0.31474422201991104</v>
      </c>
      <c r="H718" s="31">
        <v>1490</v>
      </c>
      <c r="I718" s="31" t="s">
        <v>156</v>
      </c>
    </row>
    <row r="719" spans="1:9" ht="12.75">
      <c r="A719" s="30"/>
      <c r="B719" s="30" t="s">
        <v>157</v>
      </c>
      <c r="C719" s="32">
        <f>(8/7)^1.3*E719</f>
        <v>13.917953872942457</v>
      </c>
      <c r="D719" s="31">
        <v>14.3</v>
      </c>
      <c r="E719" s="31">
        <v>11.7</v>
      </c>
      <c r="F719" s="33">
        <f>-((D719-C719)/D719)</f>
        <v>-0.026716512381646428</v>
      </c>
      <c r="G719" s="32">
        <f>C719-D719</f>
        <v>-0.3820461270575439</v>
      </c>
      <c r="H719" s="31">
        <v>1490</v>
      </c>
      <c r="I719" s="31" t="s">
        <v>156</v>
      </c>
    </row>
    <row r="720" spans="1:9" ht="12.75">
      <c r="A720" s="30"/>
      <c r="B720" s="30" t="s">
        <v>158</v>
      </c>
      <c r="C720" s="32">
        <f>(8/7)^1.3*E720</f>
        <v>16.416048157829568</v>
      </c>
      <c r="D720" s="31">
        <v>16.5</v>
      </c>
      <c r="E720" s="31">
        <v>13.8</v>
      </c>
      <c r="F720" s="33">
        <f>-((D720-C720)/D720)</f>
        <v>-0.005087990434571633</v>
      </c>
      <c r="G720" s="32">
        <f>C720-D720</f>
        <v>-0.08395184217043195</v>
      </c>
      <c r="H720" s="31">
        <v>1490</v>
      </c>
      <c r="I720" s="31" t="s">
        <v>156</v>
      </c>
    </row>
    <row r="721" spans="1:9" ht="12.75">
      <c r="A721" s="30"/>
      <c r="B721" s="30" t="s">
        <v>159</v>
      </c>
      <c r="C721" s="32">
        <f>(8/7)^1.3*E721</f>
        <v>16.891875640665205</v>
      </c>
      <c r="D721" s="31">
        <v>16.9</v>
      </c>
      <c r="E721" s="31">
        <v>14.2</v>
      </c>
      <c r="F721" s="33">
        <f>-((D721-C721)/D721)</f>
        <v>-0.00048073132158541404</v>
      </c>
      <c r="G721" s="32">
        <f>C721-D721</f>
        <v>-0.008124359334793496</v>
      </c>
      <c r="H721" s="31">
        <v>1490</v>
      </c>
      <c r="I721" s="31" t="s">
        <v>156</v>
      </c>
    </row>
    <row r="722" spans="1:9" ht="12.75">
      <c r="A722" s="30"/>
      <c r="B722" s="30" t="s">
        <v>160</v>
      </c>
      <c r="C722" s="32">
        <f>(8/7)^1.3*E722</f>
        <v>19.984754279096865</v>
      </c>
      <c r="D722" s="31">
        <v>19.6</v>
      </c>
      <c r="E722" s="31">
        <v>16.8</v>
      </c>
      <c r="F722" s="33">
        <f>-((D722-C722)/D722)</f>
        <v>0.01963032036208489</v>
      </c>
      <c r="G722" s="32">
        <f>C722-D722</f>
        <v>0.3847542790968639</v>
      </c>
      <c r="H722" s="31">
        <v>1490</v>
      </c>
      <c r="I722" s="31" t="s">
        <v>156</v>
      </c>
    </row>
    <row r="723" spans="1:9" ht="12.75">
      <c r="A723" s="30"/>
      <c r="B723" s="30" t="s">
        <v>161</v>
      </c>
      <c r="C723" s="32">
        <f>(8/7)^1.3*E723</f>
        <v>22.24493482256615</v>
      </c>
      <c r="D723" s="31">
        <v>21.4</v>
      </c>
      <c r="E723" s="31">
        <v>18.7</v>
      </c>
      <c r="F723" s="33">
        <f>-((D723-C723)/D723)</f>
        <v>0.039482935633932355</v>
      </c>
      <c r="G723" s="32">
        <f>C723-D723</f>
        <v>0.8449348225661524</v>
      </c>
      <c r="H723" s="31">
        <v>1490</v>
      </c>
      <c r="I723" s="31" t="s">
        <v>156</v>
      </c>
    </row>
    <row r="724" spans="1:9" ht="12.75">
      <c r="A724" s="34"/>
      <c r="B724" s="34"/>
      <c r="C724" s="35"/>
      <c r="D724" s="36"/>
      <c r="E724" s="31" t="s">
        <v>14</v>
      </c>
      <c r="F724" s="33">
        <f>AVERAGE(F718:F723)</f>
        <v>0.0005566078467680776</v>
      </c>
      <c r="G724" s="32">
        <f>AVERAGE(G718:G723)</f>
        <v>0.07347042518005598</v>
      </c>
      <c r="H724" s="36"/>
      <c r="I724" s="36"/>
    </row>
    <row r="725" spans="1:9" ht="12.75">
      <c r="A725" s="34"/>
      <c r="B725" s="34"/>
      <c r="C725" s="35"/>
      <c r="D725" s="36"/>
      <c r="E725" s="31"/>
      <c r="F725" s="33"/>
      <c r="G725" s="32"/>
      <c r="H725" s="36"/>
      <c r="I725" s="36"/>
    </row>
    <row r="726" spans="1:9" ht="12.75">
      <c r="A726" s="34" t="s">
        <v>0</v>
      </c>
      <c r="B726" s="34" t="s">
        <v>1</v>
      </c>
      <c r="C726" s="36" t="s">
        <v>162</v>
      </c>
      <c r="D726" s="36" t="s">
        <v>152</v>
      </c>
      <c r="E726" s="36" t="s">
        <v>153</v>
      </c>
      <c r="F726" s="36" t="s">
        <v>5</v>
      </c>
      <c r="G726" s="36" t="s">
        <v>6</v>
      </c>
      <c r="H726" s="36" t="s">
        <v>7</v>
      </c>
      <c r="I726" s="36" t="s">
        <v>8</v>
      </c>
    </row>
    <row r="727" spans="1:9" ht="12.75">
      <c r="A727" s="34" t="s">
        <v>154</v>
      </c>
      <c r="B727" s="34" t="s">
        <v>155</v>
      </c>
      <c r="C727" s="35">
        <f>(8/7)^2*E727</f>
        <v>14.367346938775508</v>
      </c>
      <c r="D727" s="36">
        <v>13.4</v>
      </c>
      <c r="E727" s="36">
        <v>11</v>
      </c>
      <c r="F727" s="37">
        <f>-((D727-C727)/D727)</f>
        <v>0.07219007005787373</v>
      </c>
      <c r="G727" s="35">
        <f>C727-D727</f>
        <v>0.967346938775508</v>
      </c>
      <c r="H727" s="36">
        <v>1490</v>
      </c>
      <c r="I727" s="36" t="s">
        <v>156</v>
      </c>
    </row>
    <row r="728" spans="1:9" ht="12.75">
      <c r="A728" s="34"/>
      <c r="B728" s="34" t="s">
        <v>157</v>
      </c>
      <c r="C728" s="35">
        <f>(8/7)^2*E728</f>
        <v>15.281632653061223</v>
      </c>
      <c r="D728" s="36">
        <v>14.3</v>
      </c>
      <c r="E728" s="36">
        <v>11.7</v>
      </c>
      <c r="F728" s="37">
        <f>-((D728-C728)/D728)</f>
        <v>0.06864564007421134</v>
      </c>
      <c r="G728" s="35">
        <f>C728-D728</f>
        <v>0.9816326530612223</v>
      </c>
      <c r="H728" s="36">
        <v>1490</v>
      </c>
      <c r="I728" s="36" t="s">
        <v>156</v>
      </c>
    </row>
    <row r="729" spans="1:9" ht="12.75">
      <c r="A729" s="34"/>
      <c r="B729" s="34" t="s">
        <v>158</v>
      </c>
      <c r="C729" s="35">
        <f>(8/7)^2*E729</f>
        <v>18.024489795918367</v>
      </c>
      <c r="D729" s="36">
        <v>16.5</v>
      </c>
      <c r="E729" s="36">
        <v>13.8</v>
      </c>
      <c r="F729" s="37">
        <f>-((D729-C729)/D729)</f>
        <v>0.0923933209647495</v>
      </c>
      <c r="G729" s="35">
        <f>C729-D729</f>
        <v>1.5244897959183668</v>
      </c>
      <c r="H729" s="36">
        <v>1490</v>
      </c>
      <c r="I729" s="36" t="s">
        <v>156</v>
      </c>
    </row>
    <row r="730" spans="1:9" ht="12.75">
      <c r="A730" s="34"/>
      <c r="B730" s="34" t="s">
        <v>159</v>
      </c>
      <c r="C730" s="35">
        <f>(8/7)^2*E730</f>
        <v>18.546938775510203</v>
      </c>
      <c r="D730" s="36">
        <v>16.9</v>
      </c>
      <c r="E730" s="36">
        <v>14.2</v>
      </c>
      <c r="F730" s="37">
        <f>-((D730-C730)/D730)</f>
        <v>0.09745199855089966</v>
      </c>
      <c r="G730" s="35">
        <f>C730-D730</f>
        <v>1.646938775510204</v>
      </c>
      <c r="H730" s="36">
        <v>1490</v>
      </c>
      <c r="I730" s="36" t="s">
        <v>156</v>
      </c>
    </row>
    <row r="731" spans="1:9" ht="12.75">
      <c r="A731" s="34"/>
      <c r="B731" s="34" t="s">
        <v>160</v>
      </c>
      <c r="C731" s="35">
        <f>(8/7)^2*E731</f>
        <v>21.942857142857143</v>
      </c>
      <c r="D731" s="36">
        <v>19.6</v>
      </c>
      <c r="E731" s="36">
        <v>16.8</v>
      </c>
      <c r="F731" s="37">
        <f>-((D731-C731)/D731)</f>
        <v>0.11953352769679293</v>
      </c>
      <c r="G731" s="35">
        <f>C731-D731</f>
        <v>2.3428571428571416</v>
      </c>
      <c r="H731" s="36">
        <v>1490</v>
      </c>
      <c r="I731" s="36" t="s">
        <v>156</v>
      </c>
    </row>
    <row r="732" spans="1:9" ht="12.75">
      <c r="A732" s="34"/>
      <c r="B732" s="34" t="s">
        <v>161</v>
      </c>
      <c r="C732" s="35">
        <f>(8/7)^2*E732</f>
        <v>24.424489795918365</v>
      </c>
      <c r="D732" s="36">
        <v>21.4</v>
      </c>
      <c r="E732" s="36">
        <v>18.7</v>
      </c>
      <c r="F732" s="37">
        <f>-((D732-C732)/D732)</f>
        <v>0.14133129887469004</v>
      </c>
      <c r="G732" s="35">
        <f>C732-D732</f>
        <v>3.0244897959183668</v>
      </c>
      <c r="H732" s="36">
        <v>1490</v>
      </c>
      <c r="I732" s="36" t="s">
        <v>156</v>
      </c>
    </row>
    <row r="733" spans="1:9" ht="12.75">
      <c r="A733" s="34"/>
      <c r="B733" s="34"/>
      <c r="C733" s="35"/>
      <c r="D733" s="36"/>
      <c r="E733" s="36" t="s">
        <v>14</v>
      </c>
      <c r="F733" s="37">
        <f>AVERAGE(F727:F732)</f>
        <v>0.0985909760365362</v>
      </c>
      <c r="G733" s="35">
        <f>AVERAGE(G727:G732)</f>
        <v>1.7479591836734683</v>
      </c>
      <c r="H733" s="36"/>
      <c r="I733" s="36"/>
    </row>
    <row r="734" spans="1:9" ht="12.75">
      <c r="A734" s="34"/>
      <c r="B734" s="34"/>
      <c r="C734" s="35"/>
      <c r="D734" s="36"/>
      <c r="E734" s="36"/>
      <c r="F734" s="37"/>
      <c r="G734" s="35"/>
      <c r="H734" s="36"/>
      <c r="I734" s="36"/>
    </row>
    <row r="735" spans="1:9" ht="12.75">
      <c r="A735" s="30" t="s">
        <v>0</v>
      </c>
      <c r="B735" s="30" t="s">
        <v>1</v>
      </c>
      <c r="C735" s="31" t="s">
        <v>163</v>
      </c>
      <c r="D735" s="31" t="s">
        <v>152</v>
      </c>
      <c r="E735" s="31" t="s">
        <v>153</v>
      </c>
      <c r="F735" s="31" t="s">
        <v>5</v>
      </c>
      <c r="G735" s="31" t="s">
        <v>6</v>
      </c>
      <c r="H735" s="31" t="s">
        <v>7</v>
      </c>
      <c r="I735" s="31" t="s">
        <v>8</v>
      </c>
    </row>
    <row r="736" spans="1:9" ht="12.75">
      <c r="A736" s="30" t="s">
        <v>154</v>
      </c>
      <c r="B736" s="30" t="s">
        <v>155</v>
      </c>
      <c r="C736" s="32">
        <f>(9.1/8.1)^1.5*E736</f>
        <v>13.09867133907219</v>
      </c>
      <c r="D736" s="31">
        <v>13.4</v>
      </c>
      <c r="E736" s="31">
        <v>11</v>
      </c>
      <c r="F736" s="33">
        <f>-((D736-C736)/D736)</f>
        <v>-0.022487213502075377</v>
      </c>
      <c r="G736" s="32">
        <f>C736-D736</f>
        <v>-0.3013286609278101</v>
      </c>
      <c r="H736" s="31">
        <v>1490</v>
      </c>
      <c r="I736" s="31" t="s">
        <v>156</v>
      </c>
    </row>
    <row r="737" spans="1:9" ht="12.75">
      <c r="A737" s="30" t="s">
        <v>164</v>
      </c>
      <c r="B737" s="30" t="s">
        <v>157</v>
      </c>
      <c r="C737" s="32">
        <f>(9/8)^1.5*E737</f>
        <v>13.960939511051897</v>
      </c>
      <c r="D737" s="31">
        <v>14.3</v>
      </c>
      <c r="E737" s="31">
        <v>11.7</v>
      </c>
      <c r="F737" s="33">
        <f>-((D737-C737)/D737)</f>
        <v>-0.023710523702664563</v>
      </c>
      <c r="G737" s="32">
        <f>C737-D737</f>
        <v>-0.33906048894810326</v>
      </c>
      <c r="H737" s="31">
        <v>1490</v>
      </c>
      <c r="I737" s="31" t="s">
        <v>156</v>
      </c>
    </row>
    <row r="738" spans="1:9" ht="12.75">
      <c r="A738" s="30" t="s">
        <v>165</v>
      </c>
      <c r="B738" s="30" t="s">
        <v>158</v>
      </c>
      <c r="C738" s="32">
        <f>(8.9/7.9)^1.5*E738</f>
        <v>16.50150135634701</v>
      </c>
      <c r="D738" s="31">
        <v>16.5</v>
      </c>
      <c r="E738" s="31">
        <v>13.8</v>
      </c>
      <c r="F738" s="33">
        <f>-((D738-C738)/D738)</f>
        <v>9.099129375817421E-05</v>
      </c>
      <c r="G738" s="32">
        <f>C738-D738</f>
        <v>0.0015013563470098745</v>
      </c>
      <c r="H738" s="31">
        <v>1490</v>
      </c>
      <c r="I738" s="31" t="s">
        <v>156</v>
      </c>
    </row>
    <row r="739" spans="1:9" ht="12.75">
      <c r="A739" s="30"/>
      <c r="B739" s="30" t="s">
        <v>159</v>
      </c>
      <c r="C739" s="32">
        <f>(8.9/7.9)^1.5*E739</f>
        <v>16.979805743487503</v>
      </c>
      <c r="D739" s="31">
        <v>16.9</v>
      </c>
      <c r="E739" s="31">
        <v>14.2</v>
      </c>
      <c r="F739" s="33">
        <f>-((D739-C739)/D739)</f>
        <v>0.004722233342455906</v>
      </c>
      <c r="G739" s="32">
        <f>C739-D739</f>
        <v>0.0798057434875048</v>
      </c>
      <c r="H739" s="31">
        <v>1490</v>
      </c>
      <c r="I739" s="31" t="s">
        <v>156</v>
      </c>
    </row>
    <row r="740" spans="1:9" ht="12.75">
      <c r="A740" s="30"/>
      <c r="B740" s="30" t="s">
        <v>160</v>
      </c>
      <c r="C740" s="32">
        <f>(8.7/7.8)^1.5*E740</f>
        <v>19.790021071259886</v>
      </c>
      <c r="D740" s="31">
        <v>19.6</v>
      </c>
      <c r="E740" s="31">
        <v>16.8</v>
      </c>
      <c r="F740" s="33">
        <f>-((D740-C740)/D740)</f>
        <v>0.009694952615300248</v>
      </c>
      <c r="G740" s="32">
        <f>C740-D740</f>
        <v>0.19002107125988488</v>
      </c>
      <c r="H740" s="31">
        <v>1490</v>
      </c>
      <c r="I740" s="31" t="s">
        <v>156</v>
      </c>
    </row>
    <row r="741" spans="1:9" ht="12.75">
      <c r="A741" s="30"/>
      <c r="B741" s="30" t="s">
        <v>161</v>
      </c>
      <c r="C741" s="32">
        <f>(8.6/7.7)^1.5*E741</f>
        <v>22.072584883640925</v>
      </c>
      <c r="D741" s="31">
        <v>21.4</v>
      </c>
      <c r="E741" s="31">
        <v>18.7</v>
      </c>
      <c r="F741" s="33">
        <f>-((D741-C741)/D741)</f>
        <v>0.03142920017013674</v>
      </c>
      <c r="G741" s="32">
        <f>C741-D741</f>
        <v>0.6725848836409263</v>
      </c>
      <c r="H741" s="31">
        <v>1490</v>
      </c>
      <c r="I741" s="31" t="s">
        <v>156</v>
      </c>
    </row>
    <row r="742" spans="1:9" ht="12.75">
      <c r="A742" s="34"/>
      <c r="B742" s="34"/>
      <c r="C742" s="35"/>
      <c r="D742" s="36"/>
      <c r="E742" s="31" t="s">
        <v>14</v>
      </c>
      <c r="F742" s="33">
        <f>AVERAGE(F736:F741)</f>
        <v>-4.339329718147829E-05</v>
      </c>
      <c r="G742" s="32">
        <f>AVERAGE(G736:G741)</f>
        <v>0.05058731747656875</v>
      </c>
      <c r="H742" s="36"/>
      <c r="I742" s="36"/>
    </row>
    <row r="743" spans="1:9" ht="12.75">
      <c r="A743" s="34"/>
      <c r="B743" s="34"/>
      <c r="C743" s="35"/>
      <c r="D743" s="36"/>
      <c r="E743" s="31"/>
      <c r="F743" s="33"/>
      <c r="G743" s="32"/>
      <c r="H743" s="36"/>
      <c r="I743" s="36"/>
    </row>
    <row r="744" spans="1:9" ht="12.75">
      <c r="A744" s="34" t="s">
        <v>0</v>
      </c>
      <c r="B744" s="34" t="s">
        <v>1</v>
      </c>
      <c r="C744" s="36" t="s">
        <v>166</v>
      </c>
      <c r="D744" s="36" t="s">
        <v>152</v>
      </c>
      <c r="E744" s="36" t="s">
        <v>153</v>
      </c>
      <c r="F744" s="36" t="s">
        <v>5</v>
      </c>
      <c r="G744" s="36" t="s">
        <v>6</v>
      </c>
      <c r="H744" s="36" t="s">
        <v>7</v>
      </c>
      <c r="I744" s="36" t="s">
        <v>8</v>
      </c>
    </row>
    <row r="745" spans="1:9" ht="12.75">
      <c r="A745" s="34" t="s">
        <v>154</v>
      </c>
      <c r="B745" s="34" t="s">
        <v>155</v>
      </c>
      <c r="C745" s="35">
        <f>(9.1/8.1)^2*E745</f>
        <v>13.883706752019512</v>
      </c>
      <c r="D745" s="36">
        <v>13.4</v>
      </c>
      <c r="E745" s="36">
        <v>11</v>
      </c>
      <c r="F745" s="37">
        <f>-((D745-C745)/D745)</f>
        <v>0.03609751880742622</v>
      </c>
      <c r="G745" s="35">
        <f>C745-D745</f>
        <v>0.4837067520195113</v>
      </c>
      <c r="H745" s="36">
        <v>1490</v>
      </c>
      <c r="I745" s="36" t="s">
        <v>156</v>
      </c>
    </row>
    <row r="746" spans="1:9" ht="12.75">
      <c r="A746" s="34" t="s">
        <v>164</v>
      </c>
      <c r="B746" s="34" t="s">
        <v>157</v>
      </c>
      <c r="C746" s="35">
        <f>(9.1/8.1)^2*E746</f>
        <v>14.767215363511662</v>
      </c>
      <c r="D746" s="36">
        <v>14.3</v>
      </c>
      <c r="E746" s="36">
        <v>11.7</v>
      </c>
      <c r="F746" s="37">
        <f>-((D746-C746)/D746)</f>
        <v>0.0326724030427735</v>
      </c>
      <c r="G746" s="35">
        <f>C746-D746</f>
        <v>0.46721536351166115</v>
      </c>
      <c r="H746" s="36">
        <v>1490</v>
      </c>
      <c r="I746" s="36" t="s">
        <v>156</v>
      </c>
    </row>
    <row r="747" spans="1:9" ht="12.75">
      <c r="A747" s="34" t="s">
        <v>165</v>
      </c>
      <c r="B747" s="34" t="s">
        <v>158</v>
      </c>
      <c r="C747" s="35">
        <f>(9.1/8.1)^2*E747</f>
        <v>17.417741197988114</v>
      </c>
      <c r="D747" s="36">
        <v>16.5</v>
      </c>
      <c r="E747" s="36">
        <v>13.8</v>
      </c>
      <c r="F747" s="37">
        <f>-((D747-C747)/D747)</f>
        <v>0.05562067866594632</v>
      </c>
      <c r="G747" s="35">
        <f>C747-D747</f>
        <v>0.9177411979881143</v>
      </c>
      <c r="H747" s="36">
        <v>1490</v>
      </c>
      <c r="I747" s="36" t="s">
        <v>156</v>
      </c>
    </row>
    <row r="748" spans="1:9" ht="12.75">
      <c r="A748" s="34"/>
      <c r="B748" s="34" t="s">
        <v>159</v>
      </c>
      <c r="C748" s="35">
        <f>(9.1/8.1)^2*E748</f>
        <v>17.922603261697915</v>
      </c>
      <c r="D748" s="36">
        <v>16.9</v>
      </c>
      <c r="E748" s="36">
        <v>14.2</v>
      </c>
      <c r="F748" s="37">
        <f>-((D748-C748)/D748)</f>
        <v>0.060509068739521714</v>
      </c>
      <c r="G748" s="35">
        <f>C748-D748</f>
        <v>1.0226032616979168</v>
      </c>
      <c r="H748" s="36">
        <v>1490</v>
      </c>
      <c r="I748" s="36" t="s">
        <v>156</v>
      </c>
    </row>
    <row r="749" spans="1:9" ht="12.75">
      <c r="A749" s="34"/>
      <c r="B749" s="34" t="s">
        <v>160</v>
      </c>
      <c r="C749" s="35">
        <f>(9.1/8.1)^2*E749</f>
        <v>21.20420667581162</v>
      </c>
      <c r="D749" s="36">
        <v>19.6</v>
      </c>
      <c r="E749" s="36">
        <v>16.8</v>
      </c>
      <c r="F749" s="37">
        <f>-((D749-C749)/D749)</f>
        <v>0.08184727937814376</v>
      </c>
      <c r="G749" s="35">
        <f>C749-D749</f>
        <v>1.6042066758116178</v>
      </c>
      <c r="H749" s="36">
        <v>1490</v>
      </c>
      <c r="I749" s="36" t="s">
        <v>156</v>
      </c>
    </row>
    <row r="750" spans="1:9" ht="12.75">
      <c r="A750" s="34"/>
      <c r="B750" s="34" t="s">
        <v>161</v>
      </c>
      <c r="C750" s="35">
        <f>(9.1/8.1)^2*E750</f>
        <v>23.60230147843317</v>
      </c>
      <c r="D750" s="36">
        <v>21.4</v>
      </c>
      <c r="E750" s="36">
        <v>18.7</v>
      </c>
      <c r="F750" s="37">
        <f>-((D750-C750)/D750)</f>
        <v>0.10291128403893322</v>
      </c>
      <c r="G750" s="35">
        <f>C750-D750</f>
        <v>2.2023014784331707</v>
      </c>
      <c r="H750" s="36">
        <v>1490</v>
      </c>
      <c r="I750" s="36" t="s">
        <v>156</v>
      </c>
    </row>
    <row r="751" spans="1:9" ht="12.75">
      <c r="A751" s="34"/>
      <c r="B751" s="34"/>
      <c r="C751" s="35"/>
      <c r="D751" s="36"/>
      <c r="E751" s="36" t="s">
        <v>14</v>
      </c>
      <c r="F751" s="37">
        <f>AVERAGE(F745:F750)</f>
        <v>0.06160970544545746</v>
      </c>
      <c r="G751" s="35">
        <f>AVERAGE(G745:G750)</f>
        <v>1.1162957882436653</v>
      </c>
      <c r="H751" s="36"/>
      <c r="I751" s="36"/>
    </row>
    <row r="752" spans="1:9" ht="12.75">
      <c r="A752" s="5"/>
      <c r="B752" s="5"/>
      <c r="C752" s="7"/>
      <c r="D752" s="6"/>
      <c r="E752" s="38"/>
      <c r="F752" s="39"/>
      <c r="G752" s="40"/>
      <c r="H752" s="6"/>
      <c r="I752" s="6"/>
    </row>
    <row r="753" spans="1:9" ht="12.75">
      <c r="A753" s="41" t="s">
        <v>0</v>
      </c>
      <c r="B753" s="41" t="s">
        <v>1</v>
      </c>
      <c r="C753" s="42" t="s">
        <v>167</v>
      </c>
      <c r="D753" s="42" t="s">
        <v>168</v>
      </c>
      <c r="E753" s="42" t="s">
        <v>152</v>
      </c>
      <c r="F753" s="42" t="s">
        <v>5</v>
      </c>
      <c r="G753" s="42" t="s">
        <v>6</v>
      </c>
      <c r="H753" s="42" t="s">
        <v>7</v>
      </c>
      <c r="I753" s="42" t="s">
        <v>8</v>
      </c>
    </row>
    <row r="754" spans="1:9" ht="12.75">
      <c r="A754" s="41" t="s">
        <v>154</v>
      </c>
      <c r="B754" s="41" t="s">
        <v>155</v>
      </c>
      <c r="C754" s="43">
        <f>(10/8)^1.3*E754</f>
        <v>17.909679549852402</v>
      </c>
      <c r="D754" s="42">
        <v>18.1</v>
      </c>
      <c r="E754" s="42">
        <v>13.4</v>
      </c>
      <c r="F754" s="44">
        <f>-((D754-C754)/D754)</f>
        <v>-0.010514941997104918</v>
      </c>
      <c r="G754" s="43">
        <f>C754-D754</f>
        <v>-0.19032045014759902</v>
      </c>
      <c r="H754" s="42">
        <v>1490</v>
      </c>
      <c r="I754" s="42" t="s">
        <v>156</v>
      </c>
    </row>
    <row r="755" spans="1:9" ht="12.75">
      <c r="A755" s="41"/>
      <c r="B755" s="41" t="s">
        <v>157</v>
      </c>
      <c r="C755" s="43">
        <f>(10/8)^1.3*E755</f>
        <v>19.112568474842487</v>
      </c>
      <c r="D755" s="42">
        <v>19.1</v>
      </c>
      <c r="E755" s="42">
        <v>14.3</v>
      </c>
      <c r="F755" s="44">
        <f>-((D755-C755)/D755)</f>
        <v>0.0006580353320672902</v>
      </c>
      <c r="G755" s="43">
        <f>C755-D755</f>
        <v>0.012568474842485244</v>
      </c>
      <c r="H755" s="42">
        <v>1490</v>
      </c>
      <c r="I755" s="42" t="s">
        <v>156</v>
      </c>
    </row>
    <row r="756" spans="1:9" ht="12.75">
      <c r="A756" s="41"/>
      <c r="B756" s="41" t="s">
        <v>158</v>
      </c>
      <c r="C756" s="43">
        <f>(10/8)^1.3*E756</f>
        <v>22.052963624818254</v>
      </c>
      <c r="D756" s="42">
        <v>21.5</v>
      </c>
      <c r="E756" s="42">
        <v>16.5</v>
      </c>
      <c r="F756" s="44">
        <f>-((D756-C756)/D756)</f>
        <v>0.025719238363639728</v>
      </c>
      <c r="G756" s="43">
        <f>C756-D756</f>
        <v>0.5529636248182541</v>
      </c>
      <c r="H756" s="42">
        <v>1490</v>
      </c>
      <c r="I756" s="42" t="s">
        <v>156</v>
      </c>
    </row>
    <row r="757" spans="1:9" ht="12.75">
      <c r="A757" s="41"/>
      <c r="B757" s="41"/>
      <c r="C757" s="43"/>
      <c r="D757" s="42"/>
      <c r="E757" s="42" t="s">
        <v>14</v>
      </c>
      <c r="F757" s="44">
        <f>AVERAGE(F754:F756)</f>
        <v>0.005287443899534033</v>
      </c>
      <c r="G757" s="43">
        <f>AVERAGE(G754:G756)</f>
        <v>0.12507054983771346</v>
      </c>
      <c r="H757" s="42"/>
      <c r="I757" s="42"/>
    </row>
    <row r="758" spans="1:9" ht="12.75">
      <c r="A758" s="41"/>
      <c r="B758" s="41"/>
      <c r="C758" s="43"/>
      <c r="D758" s="42"/>
      <c r="E758" s="42"/>
      <c r="F758" s="44"/>
      <c r="G758" s="43"/>
      <c r="H758" s="42"/>
      <c r="I758" s="42"/>
    </row>
    <row r="759" spans="1:9" ht="12.75">
      <c r="A759" s="45" t="s">
        <v>0</v>
      </c>
      <c r="B759" s="45" t="s">
        <v>1</v>
      </c>
      <c r="C759" s="46" t="s">
        <v>169</v>
      </c>
      <c r="D759" s="46" t="s">
        <v>168</v>
      </c>
      <c r="E759" s="46" t="s">
        <v>152</v>
      </c>
      <c r="F759" s="46" t="s">
        <v>5</v>
      </c>
      <c r="G759" s="46" t="s">
        <v>6</v>
      </c>
      <c r="H759" s="46" t="s">
        <v>7</v>
      </c>
      <c r="I759" s="46" t="s">
        <v>8</v>
      </c>
    </row>
    <row r="760" spans="1:9" ht="12.75">
      <c r="A760" s="45" t="s">
        <v>154</v>
      </c>
      <c r="B760" s="45" t="s">
        <v>155</v>
      </c>
      <c r="C760" s="47">
        <f>(10/8)^2*E760</f>
        <v>20.9375</v>
      </c>
      <c r="D760" s="46">
        <v>18.1</v>
      </c>
      <c r="E760" s="46">
        <v>13.4</v>
      </c>
      <c r="F760" s="48">
        <f>-((D760-C760)/D760)</f>
        <v>0.1567679558011049</v>
      </c>
      <c r="G760" s="47">
        <f>C760-D760</f>
        <v>2.8374999999999986</v>
      </c>
      <c r="H760" s="46">
        <v>1490</v>
      </c>
      <c r="I760" s="46" t="s">
        <v>156</v>
      </c>
    </row>
    <row r="761" spans="1:9" ht="12.75">
      <c r="A761" s="45"/>
      <c r="B761" s="45" t="s">
        <v>157</v>
      </c>
      <c r="C761" s="47">
        <f>(10/8)^2*E761</f>
        <v>22.34375</v>
      </c>
      <c r="D761" s="46">
        <v>19.1</v>
      </c>
      <c r="E761" s="46">
        <v>14.3</v>
      </c>
      <c r="F761" s="48">
        <f>-((D761-C761)/D761)</f>
        <v>0.1698298429319371</v>
      </c>
      <c r="G761" s="47">
        <f>C761-D761</f>
        <v>3.2437499999999986</v>
      </c>
      <c r="H761" s="46">
        <v>1490</v>
      </c>
      <c r="I761" s="46" t="s">
        <v>156</v>
      </c>
    </row>
    <row r="762" spans="1:9" ht="12.75">
      <c r="A762" s="45"/>
      <c r="B762" s="45" t="s">
        <v>158</v>
      </c>
      <c r="C762" s="47">
        <f>(10/8)^2*E762</f>
        <v>25.78125</v>
      </c>
      <c r="D762" s="46">
        <v>21.5</v>
      </c>
      <c r="E762" s="46">
        <v>16.5</v>
      </c>
      <c r="F762" s="48">
        <f>-((D762-C762)/D762)</f>
        <v>0.19912790697674418</v>
      </c>
      <c r="G762" s="47">
        <f>C762-D762</f>
        <v>4.28125</v>
      </c>
      <c r="H762" s="46">
        <v>1490</v>
      </c>
      <c r="I762" s="46" t="s">
        <v>156</v>
      </c>
    </row>
    <row r="763" spans="1:9" ht="12.75">
      <c r="A763" s="45"/>
      <c r="B763" s="45"/>
      <c r="C763" s="47"/>
      <c r="D763" s="46"/>
      <c r="E763" s="46" t="s">
        <v>14</v>
      </c>
      <c r="F763" s="48">
        <f>AVERAGE(F760:F762)</f>
        <v>0.17524190190326205</v>
      </c>
      <c r="G763" s="47">
        <f>AVERAGE(G760:G762)</f>
        <v>3.4541666666666657</v>
      </c>
      <c r="H763" s="46"/>
      <c r="I763" s="46"/>
    </row>
    <row r="764" spans="1:9" ht="12.75">
      <c r="A764" s="45"/>
      <c r="B764" s="45"/>
      <c r="C764" s="47"/>
      <c r="D764" s="46"/>
      <c r="E764" s="46"/>
      <c r="F764" s="48"/>
      <c r="G764" s="47"/>
      <c r="H764" s="46"/>
      <c r="I764" s="46"/>
    </row>
    <row r="765" spans="1:9" ht="12.75">
      <c r="A765" s="41" t="s">
        <v>0</v>
      </c>
      <c r="B765" s="41" t="s">
        <v>1</v>
      </c>
      <c r="C765" s="42" t="s">
        <v>170</v>
      </c>
      <c r="D765" s="42" t="s">
        <v>168</v>
      </c>
      <c r="E765" s="42" t="s">
        <v>152</v>
      </c>
      <c r="F765" s="42" t="s">
        <v>5</v>
      </c>
      <c r="G765" s="42" t="s">
        <v>6</v>
      </c>
      <c r="H765" s="42" t="s">
        <v>7</v>
      </c>
      <c r="I765" s="42" t="s">
        <v>8</v>
      </c>
    </row>
    <row r="766" spans="1:9" ht="12.75">
      <c r="A766" s="41" t="s">
        <v>154</v>
      </c>
      <c r="B766" s="41" t="s">
        <v>155</v>
      </c>
      <c r="C766" s="43">
        <f>(11/9.1)^1.51*E766</f>
        <v>17.84248131177324</v>
      </c>
      <c r="D766" s="42">
        <v>18.1</v>
      </c>
      <c r="E766" s="42">
        <v>13.4</v>
      </c>
      <c r="F766" s="44">
        <f>-((D766-C766)/D766)</f>
        <v>-0.014227551835732604</v>
      </c>
      <c r="G766" s="43">
        <f>C766-D766</f>
        <v>-0.25751868822676016</v>
      </c>
      <c r="H766" s="42">
        <v>1490</v>
      </c>
      <c r="I766" s="42" t="s">
        <v>156</v>
      </c>
    </row>
    <row r="767" spans="1:9" ht="12.75">
      <c r="A767" s="41" t="s">
        <v>164</v>
      </c>
      <c r="B767" s="41" t="s">
        <v>157</v>
      </c>
      <c r="C767" s="43">
        <f>(11/9.1)^1.51*E767</f>
        <v>19.040856922265476</v>
      </c>
      <c r="D767" s="42">
        <v>19.1</v>
      </c>
      <c r="E767" s="42">
        <v>14.3</v>
      </c>
      <c r="F767" s="44">
        <f>-((D767-C767)/D767)</f>
        <v>-0.003096496216467288</v>
      </c>
      <c r="G767" s="43">
        <f>C767-D767</f>
        <v>-0.05914307773452521</v>
      </c>
      <c r="H767" s="42">
        <v>1490</v>
      </c>
      <c r="I767" s="42" t="s">
        <v>156</v>
      </c>
    </row>
    <row r="768" spans="1:9" ht="12.75">
      <c r="A768" s="41" t="s">
        <v>165</v>
      </c>
      <c r="B768" s="41" t="s">
        <v>158</v>
      </c>
      <c r="C768" s="43">
        <f>(11/9.1)^1.51*E768</f>
        <v>21.970219525690933</v>
      </c>
      <c r="D768" s="42">
        <v>21.5</v>
      </c>
      <c r="E768" s="42">
        <v>16.5</v>
      </c>
      <c r="F768" s="44">
        <f>-((D768-C768)/D768)</f>
        <v>0.021870675613531756</v>
      </c>
      <c r="G768" s="43">
        <f>C768-D768</f>
        <v>0.4702195256909327</v>
      </c>
      <c r="H768" s="42">
        <v>1490</v>
      </c>
      <c r="I768" s="42" t="s">
        <v>156</v>
      </c>
    </row>
    <row r="769" spans="1:9" ht="12.75">
      <c r="A769" s="41"/>
      <c r="B769" s="41"/>
      <c r="C769" s="43"/>
      <c r="D769" s="42"/>
      <c r="E769" s="42" t="s">
        <v>14</v>
      </c>
      <c r="F769" s="44">
        <f>AVERAGE(F766:F768)</f>
        <v>0.0015155425204439541</v>
      </c>
      <c r="G769" s="43">
        <f>AVERAGE(G766:G768)</f>
        <v>0.05118591990988245</v>
      </c>
      <c r="H769" s="42"/>
      <c r="I769" s="42"/>
    </row>
    <row r="770" spans="1:9" ht="12.75">
      <c r="A770" s="41"/>
      <c r="B770" s="41"/>
      <c r="C770" s="43"/>
      <c r="D770" s="42"/>
      <c r="E770" s="42"/>
      <c r="F770" s="44"/>
      <c r="G770" s="43"/>
      <c r="H770" s="42"/>
      <c r="I770" s="42"/>
    </row>
    <row r="771" spans="1:9" ht="12.75">
      <c r="A771" s="45" t="s">
        <v>0</v>
      </c>
      <c r="B771" s="45" t="s">
        <v>1</v>
      </c>
      <c r="C771" s="46" t="s">
        <v>166</v>
      </c>
      <c r="D771" s="46" t="s">
        <v>168</v>
      </c>
      <c r="E771" s="46" t="s">
        <v>152</v>
      </c>
      <c r="F771" s="46" t="s">
        <v>5</v>
      </c>
      <c r="G771" s="46" t="s">
        <v>6</v>
      </c>
      <c r="H771" s="46" t="s">
        <v>7</v>
      </c>
      <c r="I771" s="46" t="s">
        <v>8</v>
      </c>
    </row>
    <row r="772" spans="1:9" ht="12.75">
      <c r="A772" s="45" t="s">
        <v>154</v>
      </c>
      <c r="B772" s="45" t="s">
        <v>155</v>
      </c>
      <c r="C772" s="47">
        <f>(11/9.1)^2*E772</f>
        <v>19.579760898442224</v>
      </c>
      <c r="D772" s="46">
        <v>18.1</v>
      </c>
      <c r="E772" s="46">
        <v>13.4</v>
      </c>
      <c r="F772" s="48">
        <f>-((D772-C772)/D772)</f>
        <v>0.08175474577028853</v>
      </c>
      <c r="G772" s="47">
        <f>C772-D772</f>
        <v>1.4797608984422226</v>
      </c>
      <c r="H772" s="46">
        <v>1490</v>
      </c>
      <c r="I772" s="46" t="s">
        <v>156</v>
      </c>
    </row>
    <row r="773" spans="1:9" ht="12.75">
      <c r="A773" s="45" t="s">
        <v>164</v>
      </c>
      <c r="B773" s="45" t="s">
        <v>157</v>
      </c>
      <c r="C773" s="47">
        <f>(11/9.1)^2*E773</f>
        <v>20.894819466248045</v>
      </c>
      <c r="D773" s="46">
        <v>19.1</v>
      </c>
      <c r="E773" s="46">
        <v>14.3</v>
      </c>
      <c r="F773" s="48">
        <f>-((D773-C773)/D773)</f>
        <v>0.09396960556272477</v>
      </c>
      <c r="G773" s="47">
        <f>C773-D773</f>
        <v>1.7948194662480432</v>
      </c>
      <c r="H773" s="46">
        <v>1490</v>
      </c>
      <c r="I773" s="46" t="s">
        <v>156</v>
      </c>
    </row>
    <row r="774" spans="1:9" ht="12.75">
      <c r="A774" s="45" t="s">
        <v>165</v>
      </c>
      <c r="B774" s="45" t="s">
        <v>158</v>
      </c>
      <c r="C774" s="47">
        <f>(11/9.1)^2*E774</f>
        <v>24.10940707644005</v>
      </c>
      <c r="D774" s="46">
        <v>21.5</v>
      </c>
      <c r="E774" s="46">
        <v>16.5</v>
      </c>
      <c r="F774" s="48">
        <f>-((D774-C774)/D774)</f>
        <v>0.12136777099721162</v>
      </c>
      <c r="G774" s="47">
        <f>C774-D774</f>
        <v>2.60940707644005</v>
      </c>
      <c r="H774" s="46">
        <v>1490</v>
      </c>
      <c r="I774" s="46" t="s">
        <v>156</v>
      </c>
    </row>
    <row r="775" spans="1:9" ht="12.75">
      <c r="A775" s="45"/>
      <c r="B775" s="45"/>
      <c r="C775" s="47"/>
      <c r="D775" s="46"/>
      <c r="E775" s="46" t="s">
        <v>14</v>
      </c>
      <c r="F775" s="48">
        <f>AVERAGE(F772:F774)</f>
        <v>0.0990307074434083</v>
      </c>
      <c r="G775" s="47">
        <f>AVERAGE(G772:G774)</f>
        <v>1.9613291470434386</v>
      </c>
      <c r="H775" s="46"/>
      <c r="I775" s="46"/>
    </row>
    <row r="776" spans="1:9" ht="12.75">
      <c r="A776" s="45"/>
      <c r="B776" s="45"/>
      <c r="C776" s="47"/>
      <c r="D776" s="46"/>
      <c r="E776" s="46"/>
      <c r="F776" s="48"/>
      <c r="G776" s="47"/>
      <c r="H776" s="46"/>
      <c r="I776" s="46"/>
    </row>
    <row r="777" spans="1:9" ht="12.75">
      <c r="A777" s="20" t="s">
        <v>0</v>
      </c>
      <c r="B777" s="20" t="s">
        <v>1</v>
      </c>
      <c r="C777" s="16" t="s">
        <v>171</v>
      </c>
      <c r="D777" s="16" t="s">
        <v>73</v>
      </c>
      <c r="E777" s="16" t="s">
        <v>3</v>
      </c>
      <c r="F777" s="16" t="s">
        <v>5</v>
      </c>
      <c r="G777" s="16" t="s">
        <v>6</v>
      </c>
      <c r="H777" s="16" t="s">
        <v>7</v>
      </c>
      <c r="I777" s="16" t="s">
        <v>8</v>
      </c>
    </row>
    <row r="778" spans="1:9" ht="12.75">
      <c r="A778" s="20" t="s">
        <v>172</v>
      </c>
      <c r="B778" s="20" t="s">
        <v>51</v>
      </c>
      <c r="C778" s="21">
        <f>(4/3)^1.66*E778</f>
        <v>25.278096131589788</v>
      </c>
      <c r="D778" s="16">
        <v>25.03</v>
      </c>
      <c r="E778" s="16">
        <v>15.68</v>
      </c>
      <c r="F778" s="22">
        <f>-((D778-C778)/D778)</f>
        <v>0.009911950922484479</v>
      </c>
      <c r="G778" s="21">
        <f>C778-D778</f>
        <v>0.2480961315897865</v>
      </c>
      <c r="H778" s="16">
        <v>1330</v>
      </c>
      <c r="I778" s="16" t="s">
        <v>173</v>
      </c>
    </row>
    <row r="779" spans="2:9" ht="12.75">
      <c r="B779" s="15" t="s">
        <v>67</v>
      </c>
      <c r="C779" s="21">
        <f>(4/3)^1.66*E779</f>
        <v>22.77930474103085</v>
      </c>
      <c r="D779" s="16">
        <v>22.67</v>
      </c>
      <c r="E779" s="16">
        <v>14.13</v>
      </c>
      <c r="F779" s="22">
        <f>-((D779-C779)/D779)</f>
        <v>0.00482155893387063</v>
      </c>
      <c r="G779" s="21">
        <f>C779-D779</f>
        <v>0.1093047410308472</v>
      </c>
      <c r="H779" s="16">
        <v>1330</v>
      </c>
      <c r="I779" s="16" t="s">
        <v>173</v>
      </c>
    </row>
    <row r="780" spans="2:9" ht="12.75">
      <c r="B780" s="15" t="s">
        <v>42</v>
      </c>
      <c r="C780" s="21">
        <f>(4/3)^1.66*E780</f>
        <v>21.81203065436287</v>
      </c>
      <c r="D780" s="16">
        <v>21.65</v>
      </c>
      <c r="E780" s="16">
        <v>13.53</v>
      </c>
      <c r="F780" s="22">
        <f>-((D780-C780)/D780)</f>
        <v>0.007484094889740088</v>
      </c>
      <c r="G780" s="21">
        <f>C780-D780</f>
        <v>0.1620306543628729</v>
      </c>
      <c r="H780" s="16">
        <v>1330</v>
      </c>
      <c r="I780" s="16" t="s">
        <v>173</v>
      </c>
    </row>
    <row r="781" spans="2:9" ht="12.75">
      <c r="B781" s="15" t="s">
        <v>35</v>
      </c>
      <c r="C781" s="21">
        <f>(4/3)^1.66*E781</f>
        <v>17.00790269057859</v>
      </c>
      <c r="D781" s="16">
        <v>17.39</v>
      </c>
      <c r="E781" s="16">
        <v>10.55</v>
      </c>
      <c r="F781" s="22">
        <f>-((D781-C781)/D781)</f>
        <v>-0.021972243209971883</v>
      </c>
      <c r="G781" s="21">
        <f>C781-D781</f>
        <v>-0.38209730942141107</v>
      </c>
      <c r="H781" s="16">
        <v>1330</v>
      </c>
      <c r="I781" s="16" t="s">
        <v>173</v>
      </c>
    </row>
    <row r="782" spans="1:9" ht="12.75">
      <c r="A782" s="1"/>
      <c r="B782" s="1"/>
      <c r="C782" s="3"/>
      <c r="D782" s="2"/>
      <c r="E782" s="16" t="s">
        <v>14</v>
      </c>
      <c r="F782" s="22">
        <f>AVERAGE(F778:F781)</f>
        <v>6.134038403082841E-05</v>
      </c>
      <c r="G782" s="21">
        <f>AVERAGE(G778:G781)</f>
        <v>0.03433355439052388</v>
      </c>
      <c r="H782" s="2"/>
      <c r="I782" s="2"/>
    </row>
    <row r="783" spans="1:9" ht="12.75">
      <c r="A783" s="1"/>
      <c r="B783" s="1"/>
      <c r="C783" s="3"/>
      <c r="D783" s="2"/>
      <c r="E783" s="16"/>
      <c r="F783" s="22"/>
      <c r="G783" s="21"/>
      <c r="H783" s="2"/>
      <c r="I783" s="2"/>
    </row>
    <row r="784" spans="1:9" ht="12.75">
      <c r="A784" s="23" t="s">
        <v>0</v>
      </c>
      <c r="B784" s="23" t="s">
        <v>1</v>
      </c>
      <c r="C784" s="18" t="s">
        <v>74</v>
      </c>
      <c r="D784" s="18" t="s">
        <v>73</v>
      </c>
      <c r="E784" s="18" t="s">
        <v>3</v>
      </c>
      <c r="F784" s="18" t="s">
        <v>5</v>
      </c>
      <c r="G784" s="18" t="s">
        <v>6</v>
      </c>
      <c r="H784" s="18" t="s">
        <v>7</v>
      </c>
      <c r="I784" s="18" t="s">
        <v>8</v>
      </c>
    </row>
    <row r="785" spans="1:9" ht="12.75">
      <c r="A785" s="23" t="s">
        <v>172</v>
      </c>
      <c r="B785" s="23" t="s">
        <v>51</v>
      </c>
      <c r="C785" s="24">
        <f>(4/3)^2*E785</f>
        <v>27.875555555555554</v>
      </c>
      <c r="D785" s="18">
        <v>25.03</v>
      </c>
      <c r="E785" s="18">
        <v>15.68</v>
      </c>
      <c r="F785" s="25">
        <f>-((D785-C785)/D785)</f>
        <v>0.11368579926310637</v>
      </c>
      <c r="G785" s="24">
        <f>C785-D785</f>
        <v>2.8455555555555527</v>
      </c>
      <c r="H785" s="18">
        <v>1330</v>
      </c>
      <c r="I785" s="18" t="s">
        <v>173</v>
      </c>
    </row>
    <row r="786" spans="1:9" ht="12.75">
      <c r="A786" s="5"/>
      <c r="B786" s="17" t="s">
        <v>67</v>
      </c>
      <c r="C786" s="24">
        <f>(4/3)^2*E786</f>
        <v>25.12</v>
      </c>
      <c r="D786" s="18">
        <v>22.67</v>
      </c>
      <c r="E786" s="18">
        <v>14.13</v>
      </c>
      <c r="F786" s="25">
        <f>-((D786-C786)/D786)</f>
        <v>0.10807234230260251</v>
      </c>
      <c r="G786" s="24">
        <f>C786-D786</f>
        <v>2.4499999999999993</v>
      </c>
      <c r="H786" s="18">
        <v>1330</v>
      </c>
      <c r="I786" s="18" t="s">
        <v>173</v>
      </c>
    </row>
    <row r="787" spans="1:9" ht="12.75">
      <c r="A787" s="5"/>
      <c r="B787" s="17" t="s">
        <v>42</v>
      </c>
      <c r="C787" s="24">
        <f>(4/3)^2*E787</f>
        <v>24.05333333333333</v>
      </c>
      <c r="D787" s="18">
        <v>21.65</v>
      </c>
      <c r="E787" s="18">
        <v>13.53</v>
      </c>
      <c r="F787" s="25">
        <f>-((D787-C787)/D787)</f>
        <v>0.11100846805234793</v>
      </c>
      <c r="G787" s="24">
        <f>C787-D787</f>
        <v>2.4033333333333324</v>
      </c>
      <c r="H787" s="18">
        <v>1330</v>
      </c>
      <c r="I787" s="18" t="s">
        <v>173</v>
      </c>
    </row>
    <row r="788" spans="1:9" ht="12.75">
      <c r="A788" s="5"/>
      <c r="B788" s="17" t="s">
        <v>35</v>
      </c>
      <c r="C788" s="24">
        <f>(4/3)^2*E788</f>
        <v>18.755555555555556</v>
      </c>
      <c r="D788" s="18">
        <v>17.39</v>
      </c>
      <c r="E788" s="18">
        <v>10.55</v>
      </c>
      <c r="F788" s="25">
        <f>-((D788-C788)/D788)</f>
        <v>0.07852533384448279</v>
      </c>
      <c r="G788" s="24">
        <f>C788-D788</f>
        <v>1.3655555555555559</v>
      </c>
      <c r="H788" s="18">
        <v>1330</v>
      </c>
      <c r="I788" s="18" t="s">
        <v>173</v>
      </c>
    </row>
    <row r="789" spans="1:9" ht="12.75">
      <c r="A789" s="5"/>
      <c r="B789" s="5"/>
      <c r="C789" s="7"/>
      <c r="D789" s="6"/>
      <c r="E789" s="18" t="s">
        <v>14</v>
      </c>
      <c r="F789" s="25">
        <f>AVERAGE(F785:F788)</f>
        <v>0.1028229858656349</v>
      </c>
      <c r="G789" s="24">
        <f>AVERAGE(G785:G788)</f>
        <v>2.26611111111111</v>
      </c>
      <c r="H789" s="6"/>
      <c r="I789" s="6"/>
    </row>
    <row r="790" spans="1:9" ht="12.75">
      <c r="A790" s="1"/>
      <c r="B790" s="1"/>
      <c r="C790" s="3"/>
      <c r="D790" s="2"/>
      <c r="E790" s="16"/>
      <c r="F790" s="22"/>
      <c r="G790" s="21"/>
      <c r="H790" s="2"/>
      <c r="I790" s="2"/>
    </row>
    <row r="791" spans="1:9" ht="12.75">
      <c r="A791" s="20" t="s">
        <v>0</v>
      </c>
      <c r="B791" s="20" t="s">
        <v>1</v>
      </c>
      <c r="C791" s="16" t="s">
        <v>141</v>
      </c>
      <c r="D791" s="16" t="s">
        <v>73</v>
      </c>
      <c r="E791" s="16" t="s">
        <v>3</v>
      </c>
      <c r="F791" s="16" t="s">
        <v>5</v>
      </c>
      <c r="G791" s="16" t="s">
        <v>6</v>
      </c>
      <c r="H791" s="16" t="s">
        <v>7</v>
      </c>
      <c r="I791" s="16" t="s">
        <v>8</v>
      </c>
    </row>
    <row r="792" spans="1:9" ht="12.75">
      <c r="A792" s="20" t="s">
        <v>174</v>
      </c>
      <c r="B792" s="20" t="s">
        <v>71</v>
      </c>
      <c r="C792" s="21">
        <f>(4/3)^1.6*E792</f>
        <v>22.05673441323268</v>
      </c>
      <c r="D792" s="16">
        <v>21.87</v>
      </c>
      <c r="E792" s="16">
        <v>13.92</v>
      </c>
      <c r="F792" s="22">
        <f>-((D792-C792)/D792)</f>
        <v>0.008538381949367983</v>
      </c>
      <c r="G792" s="21">
        <f>C792-D792</f>
        <v>0.1867344132326778</v>
      </c>
      <c r="H792" s="16">
        <v>1130</v>
      </c>
      <c r="I792" s="16" t="s">
        <v>173</v>
      </c>
    </row>
    <row r="793" spans="2:9" ht="12.75">
      <c r="B793" s="15" t="s">
        <v>52</v>
      </c>
      <c r="C793" s="21">
        <f>(4/3)^1.6*E793</f>
        <v>23.16590927596708</v>
      </c>
      <c r="D793" s="16">
        <v>23.09</v>
      </c>
      <c r="E793" s="16">
        <v>14.62</v>
      </c>
      <c r="F793" s="22">
        <f>-((D793-C793)/D793)</f>
        <v>0.0032875390197956438</v>
      </c>
      <c r="G793" s="21">
        <f>C793-D793</f>
        <v>0.07590927596708141</v>
      </c>
      <c r="H793" s="16">
        <v>1130</v>
      </c>
      <c r="I793" s="16" t="s">
        <v>173</v>
      </c>
    </row>
    <row r="794" spans="2:9" ht="12.75">
      <c r="B794" s="15" t="s">
        <v>51</v>
      </c>
      <c r="C794" s="21">
        <f>(4/3)^1.6*E794</f>
        <v>16.06719015446691</v>
      </c>
      <c r="D794" s="16">
        <v>16.22</v>
      </c>
      <c r="E794" s="16">
        <v>10.14</v>
      </c>
      <c r="F794" s="22">
        <f>-((D794-C794)/D794)</f>
        <v>-0.009421075556910507</v>
      </c>
      <c r="G794" s="21">
        <f>C794-D794</f>
        <v>-0.1528098455330884</v>
      </c>
      <c r="H794" s="16">
        <v>1130</v>
      </c>
      <c r="I794" s="16" t="s">
        <v>173</v>
      </c>
    </row>
    <row r="795" spans="1:9" ht="12.75">
      <c r="A795" s="1"/>
      <c r="B795" s="1"/>
      <c r="C795" s="3"/>
      <c r="D795" s="2"/>
      <c r="E795" s="16" t="s">
        <v>14</v>
      </c>
      <c r="F795" s="22">
        <f>AVERAGE(F792:F794)</f>
        <v>0.0008016151374177065</v>
      </c>
      <c r="G795" s="21">
        <f>AVERAGE(G792:G794)</f>
        <v>0.0366112812222236</v>
      </c>
      <c r="H795" s="2"/>
      <c r="I795" s="16"/>
    </row>
    <row r="796" spans="1:9" ht="12.75">
      <c r="A796" s="1"/>
      <c r="B796" s="1"/>
      <c r="C796" s="3"/>
      <c r="D796" s="2"/>
      <c r="E796" s="16"/>
      <c r="F796" s="22"/>
      <c r="G796" s="21"/>
      <c r="H796" s="2"/>
      <c r="I796" s="2"/>
    </row>
    <row r="797" spans="1:9" ht="12.75">
      <c r="A797" s="23" t="s">
        <v>0</v>
      </c>
      <c r="B797" s="23" t="s">
        <v>1</v>
      </c>
      <c r="C797" s="18" t="s">
        <v>74</v>
      </c>
      <c r="D797" s="18" t="s">
        <v>73</v>
      </c>
      <c r="E797" s="18" t="s">
        <v>3</v>
      </c>
      <c r="F797" s="18" t="s">
        <v>5</v>
      </c>
      <c r="G797" s="18" t="s">
        <v>6</v>
      </c>
      <c r="H797" s="18" t="s">
        <v>7</v>
      </c>
      <c r="I797" s="18" t="s">
        <v>8</v>
      </c>
    </row>
    <row r="798" spans="1:9" ht="12.75">
      <c r="A798" s="23" t="s">
        <v>174</v>
      </c>
      <c r="B798" s="23" t="s">
        <v>71</v>
      </c>
      <c r="C798" s="24">
        <f>(4/3)^2*E798</f>
        <v>24.746666666666666</v>
      </c>
      <c r="D798" s="18">
        <v>21.87</v>
      </c>
      <c r="E798" s="18">
        <v>13.92</v>
      </c>
      <c r="F798" s="25">
        <f>-((D798-C798)/D798)</f>
        <v>0.13153482700807795</v>
      </c>
      <c r="G798" s="24">
        <f>C798-D798</f>
        <v>2.876666666666665</v>
      </c>
      <c r="H798" s="18">
        <v>1130</v>
      </c>
      <c r="I798" s="18" t="s">
        <v>173</v>
      </c>
    </row>
    <row r="799" spans="1:9" ht="12.75">
      <c r="A799" s="5"/>
      <c r="B799" s="17" t="s">
        <v>52</v>
      </c>
      <c r="C799" s="24">
        <f>(4/3)^2*E799</f>
        <v>25.99111111111111</v>
      </c>
      <c r="D799" s="18">
        <v>23.09</v>
      </c>
      <c r="E799" s="18">
        <v>14.62</v>
      </c>
      <c r="F799" s="25">
        <f>-((D799-C799)/D799)</f>
        <v>0.1256436167653144</v>
      </c>
      <c r="G799" s="24">
        <f>C799-D799</f>
        <v>2.90111111111111</v>
      </c>
      <c r="H799" s="18">
        <v>1130</v>
      </c>
      <c r="I799" s="18" t="s">
        <v>173</v>
      </c>
    </row>
    <row r="800" spans="1:9" ht="12.75">
      <c r="A800" s="5"/>
      <c r="B800" s="17" t="s">
        <v>51</v>
      </c>
      <c r="C800" s="24">
        <f>(4/3)^2*E800</f>
        <v>18.026666666666667</v>
      </c>
      <c r="D800" s="18">
        <v>16.22</v>
      </c>
      <c r="E800" s="18">
        <v>10.14</v>
      </c>
      <c r="F800" s="25">
        <f>-((D800-C800)/D800)</f>
        <v>0.11138512124948635</v>
      </c>
      <c r="G800" s="24">
        <f>C800-D800</f>
        <v>1.8066666666666684</v>
      </c>
      <c r="H800" s="18">
        <v>1130</v>
      </c>
      <c r="I800" s="18" t="s">
        <v>173</v>
      </c>
    </row>
    <row r="801" spans="1:9" ht="12.75">
      <c r="A801" s="5"/>
      <c r="B801" s="5"/>
      <c r="C801" s="7"/>
      <c r="D801" s="6"/>
      <c r="E801" s="18" t="s">
        <v>14</v>
      </c>
      <c r="F801" s="25">
        <f>AVERAGE(F798:F800)</f>
        <v>0.1228545216742929</v>
      </c>
      <c r="G801" s="24">
        <f>AVERAGE(G798:G800)</f>
        <v>2.528148148148148</v>
      </c>
      <c r="H801" s="6"/>
      <c r="I801" s="18"/>
    </row>
    <row r="802" spans="1:9" ht="12.75">
      <c r="A802" s="5"/>
      <c r="B802" s="5"/>
      <c r="C802" s="7"/>
      <c r="D802" s="6"/>
      <c r="E802" s="18"/>
      <c r="F802" s="25"/>
      <c r="G802" s="24"/>
      <c r="H802" s="6"/>
      <c r="I802" s="18"/>
    </row>
    <row r="803" spans="1:9" ht="12.75">
      <c r="A803" s="20" t="s">
        <v>0</v>
      </c>
      <c r="B803" s="20" t="s">
        <v>1</v>
      </c>
      <c r="C803" s="16" t="s">
        <v>175</v>
      </c>
      <c r="D803" s="16" t="s">
        <v>73</v>
      </c>
      <c r="E803" s="16" t="s">
        <v>3</v>
      </c>
      <c r="F803" s="16" t="s">
        <v>5</v>
      </c>
      <c r="G803" s="16" t="s">
        <v>6</v>
      </c>
      <c r="H803" s="16" t="s">
        <v>7</v>
      </c>
      <c r="I803" s="16" t="s">
        <v>8</v>
      </c>
    </row>
    <row r="804" spans="1:9" ht="12.75">
      <c r="A804" s="20" t="s">
        <v>176</v>
      </c>
      <c r="B804" s="20" t="s">
        <v>104</v>
      </c>
      <c r="C804" s="21">
        <f>(4/3)^1.52*E804</f>
        <v>22.26720798805116</v>
      </c>
      <c r="D804" s="16">
        <v>21.4</v>
      </c>
      <c r="E804" s="16">
        <v>14.38</v>
      </c>
      <c r="F804" s="22">
        <f>-((D804-C804)/D804)</f>
        <v>0.04052373775940015</v>
      </c>
      <c r="G804" s="21">
        <f>C804-D804</f>
        <v>0.8672079880511632</v>
      </c>
      <c r="H804" s="16">
        <v>1000</v>
      </c>
      <c r="I804" s="16" t="s">
        <v>173</v>
      </c>
    </row>
    <row r="805" spans="2:9" ht="12.75">
      <c r="B805" s="20" t="s">
        <v>105</v>
      </c>
      <c r="C805" s="21">
        <f>(4/3)^1.52*E805</f>
        <v>20.532905279663307</v>
      </c>
      <c r="D805" s="16">
        <v>20.05</v>
      </c>
      <c r="E805" s="16">
        <v>13.26</v>
      </c>
      <c r="F805" s="22">
        <f>-((D805-C805)/D805)</f>
        <v>0.024085051354778373</v>
      </c>
      <c r="G805" s="21">
        <f>C805-D805</f>
        <v>0.48290527966330643</v>
      </c>
      <c r="H805" s="16">
        <v>1000</v>
      </c>
      <c r="I805" s="16" t="s">
        <v>173</v>
      </c>
    </row>
    <row r="806" spans="2:9" ht="12.75">
      <c r="B806" s="20" t="s">
        <v>50</v>
      </c>
      <c r="C806" s="21">
        <f>(4/3)^1.52*E806</f>
        <v>20.470965897220886</v>
      </c>
      <c r="D806" s="16">
        <v>20.22</v>
      </c>
      <c r="E806" s="16">
        <v>13.22</v>
      </c>
      <c r="F806" s="22">
        <f>-((D806-C806)/D806)</f>
        <v>0.012411765441191238</v>
      </c>
      <c r="G806" s="21">
        <f>C806-D806</f>
        <v>0.2509658972208868</v>
      </c>
      <c r="H806" s="16">
        <v>1000</v>
      </c>
      <c r="I806" s="16" t="s">
        <v>173</v>
      </c>
    </row>
    <row r="807" spans="2:9" ht="12.75">
      <c r="B807" s="20" t="s">
        <v>84</v>
      </c>
      <c r="C807" s="21">
        <f>(4/3)^1.52*E807</f>
        <v>17.28108770143609</v>
      </c>
      <c r="D807" s="16">
        <v>17.39</v>
      </c>
      <c r="E807" s="16">
        <v>11.16</v>
      </c>
      <c r="F807" s="22">
        <f>-((D807-C807)/D807)</f>
        <v>-0.006262926886941431</v>
      </c>
      <c r="G807" s="21">
        <f>C807-D807</f>
        <v>-0.10891229856391149</v>
      </c>
      <c r="H807" s="16">
        <v>1000</v>
      </c>
      <c r="I807" s="16" t="s">
        <v>173</v>
      </c>
    </row>
    <row r="808" spans="2:9" ht="12.75">
      <c r="B808" s="20" t="s">
        <v>71</v>
      </c>
      <c r="C808" s="21">
        <f>(4/3)^1.52*E808</f>
        <v>14.927391168624004</v>
      </c>
      <c r="D808" s="16">
        <v>15.32</v>
      </c>
      <c r="E808" s="16">
        <v>9.64</v>
      </c>
      <c r="F808" s="22">
        <f>-((D808-C808)/D808)</f>
        <v>-0.02562720831436009</v>
      </c>
      <c r="G808" s="21">
        <f>C808-D808</f>
        <v>-0.39260883137599656</v>
      </c>
      <c r="H808" s="16">
        <v>1000</v>
      </c>
      <c r="I808" s="16" t="s">
        <v>173</v>
      </c>
    </row>
    <row r="809" spans="2:9" ht="12.75">
      <c r="B809" s="20" t="s">
        <v>52</v>
      </c>
      <c r="C809" s="21">
        <f>(4/3)^1.52*E809</f>
        <v>15.515815301827024</v>
      </c>
      <c r="D809" s="16">
        <v>16.17</v>
      </c>
      <c r="E809" s="16">
        <v>10.02</v>
      </c>
      <c r="F809" s="22">
        <f>-((D809-C809)/D809)</f>
        <v>-0.04045669129084588</v>
      </c>
      <c r="G809" s="21">
        <f>C809-D809</f>
        <v>-0.654184698172978</v>
      </c>
      <c r="H809" s="16">
        <v>1000</v>
      </c>
      <c r="I809" s="16" t="s">
        <v>173</v>
      </c>
    </row>
    <row r="810" spans="1:9" ht="12.75">
      <c r="A810" s="5"/>
      <c r="B810" s="5"/>
      <c r="C810" s="7"/>
      <c r="D810" s="6"/>
      <c r="E810" s="16" t="s">
        <v>14</v>
      </c>
      <c r="F810" s="22">
        <f>AVERAGE(F804:F809)</f>
        <v>0.0007789546772037278</v>
      </c>
      <c r="G810" s="21">
        <f>AVERAGE(G804:G809)</f>
        <v>0.07422888947041173</v>
      </c>
      <c r="H810" s="6"/>
      <c r="I810" s="18"/>
    </row>
    <row r="811" spans="1:9" ht="12.75">
      <c r="A811" s="5"/>
      <c r="B811" s="5"/>
      <c r="C811" s="7"/>
      <c r="D811" s="6"/>
      <c r="E811" s="16"/>
      <c r="F811" s="22"/>
      <c r="G811" s="21"/>
      <c r="H811" s="6"/>
      <c r="I811" s="18"/>
    </row>
    <row r="812" spans="1:9" ht="12.75">
      <c r="A812" s="23" t="s">
        <v>0</v>
      </c>
      <c r="B812" s="23" t="s">
        <v>1</v>
      </c>
      <c r="C812" s="18" t="s">
        <v>74</v>
      </c>
      <c r="D812" s="18" t="s">
        <v>73</v>
      </c>
      <c r="E812" s="18" t="s">
        <v>3</v>
      </c>
      <c r="F812" s="18" t="s">
        <v>5</v>
      </c>
      <c r="G812" s="18" t="s">
        <v>6</v>
      </c>
      <c r="H812" s="18" t="s">
        <v>7</v>
      </c>
      <c r="I812" s="18" t="s">
        <v>8</v>
      </c>
    </row>
    <row r="813" spans="1:9" ht="12.75">
      <c r="A813" s="23" t="s">
        <v>176</v>
      </c>
      <c r="B813" s="23" t="s">
        <v>104</v>
      </c>
      <c r="C813" s="24">
        <f>(4/3)^2*E813</f>
        <v>25.564444444444444</v>
      </c>
      <c r="D813" s="18">
        <v>21.4</v>
      </c>
      <c r="E813" s="18">
        <v>14.38</v>
      </c>
      <c r="F813" s="25">
        <f>-((D813-C813)/D813)</f>
        <v>0.19460020768431988</v>
      </c>
      <c r="G813" s="24">
        <f>C813-D813</f>
        <v>4.164444444444445</v>
      </c>
      <c r="H813" s="18">
        <v>1000</v>
      </c>
      <c r="I813" s="18" t="s">
        <v>173</v>
      </c>
    </row>
    <row r="814" spans="1:9" ht="12.75">
      <c r="A814" s="5"/>
      <c r="B814" s="23" t="s">
        <v>105</v>
      </c>
      <c r="C814" s="24">
        <f>(4/3)^2*E814</f>
        <v>23.57333333333333</v>
      </c>
      <c r="D814" s="18">
        <v>20.05</v>
      </c>
      <c r="E814" s="18">
        <v>13.26</v>
      </c>
      <c r="F814" s="25">
        <f>-((D814-C814)/D814)</f>
        <v>0.17572734829592668</v>
      </c>
      <c r="G814" s="24">
        <f>C814-D814</f>
        <v>3.52333333333333</v>
      </c>
      <c r="H814" s="18">
        <v>1000</v>
      </c>
      <c r="I814" s="18" t="s">
        <v>173</v>
      </c>
    </row>
    <row r="815" spans="1:9" ht="12.75">
      <c r="A815" s="5"/>
      <c r="B815" s="23" t="s">
        <v>50</v>
      </c>
      <c r="C815" s="24">
        <f>(4/3)^2*E815</f>
        <v>23.502222222222223</v>
      </c>
      <c r="D815" s="18">
        <v>20.22</v>
      </c>
      <c r="E815" s="18">
        <v>13.22</v>
      </c>
      <c r="F815" s="25">
        <f>-((D815-C815)/D815)</f>
        <v>0.1623255302780526</v>
      </c>
      <c r="G815" s="24">
        <f>C815-D815</f>
        <v>3.2822222222222237</v>
      </c>
      <c r="H815" s="18">
        <v>1000</v>
      </c>
      <c r="I815" s="18" t="s">
        <v>173</v>
      </c>
    </row>
    <row r="816" spans="1:9" ht="12.75">
      <c r="A816" s="5"/>
      <c r="B816" s="23" t="s">
        <v>84</v>
      </c>
      <c r="C816" s="24">
        <f>(4/3)^2*E816</f>
        <v>19.84</v>
      </c>
      <c r="D816" s="18">
        <v>17.39</v>
      </c>
      <c r="E816" s="18">
        <v>11.16</v>
      </c>
      <c r="F816" s="25">
        <f>-((D816-C816)/D816)</f>
        <v>0.14088556641748126</v>
      </c>
      <c r="G816" s="24">
        <f>C816-D816</f>
        <v>2.4499999999999993</v>
      </c>
      <c r="H816" s="18">
        <v>1000</v>
      </c>
      <c r="I816" s="18" t="s">
        <v>173</v>
      </c>
    </row>
    <row r="817" spans="1:9" ht="12.75">
      <c r="A817" s="5"/>
      <c r="B817" s="23" t="s">
        <v>71</v>
      </c>
      <c r="C817" s="24">
        <f>(4/3)^2*E817</f>
        <v>17.137777777777778</v>
      </c>
      <c r="D817" s="18">
        <v>15.32</v>
      </c>
      <c r="E817" s="18">
        <v>9.64</v>
      </c>
      <c r="F817" s="25">
        <f>-((D817-C817)/D817)</f>
        <v>0.11865390194371916</v>
      </c>
      <c r="G817" s="24">
        <f>C817-D817</f>
        <v>1.8177777777777777</v>
      </c>
      <c r="H817" s="18">
        <v>1000</v>
      </c>
      <c r="I817" s="18" t="s">
        <v>173</v>
      </c>
    </row>
    <row r="818" spans="1:9" ht="12.75">
      <c r="A818" s="5"/>
      <c r="B818" s="23" t="s">
        <v>52</v>
      </c>
      <c r="C818" s="24">
        <f>(4/3)^2*E818</f>
        <v>17.813333333333333</v>
      </c>
      <c r="D818" s="18">
        <v>16.17</v>
      </c>
      <c r="E818" s="18">
        <v>10.02</v>
      </c>
      <c r="F818" s="25">
        <f>-((D818-C818)/D818)</f>
        <v>0.10162853019995861</v>
      </c>
      <c r="G818" s="24">
        <f>C818-D818</f>
        <v>1.6433333333333309</v>
      </c>
      <c r="H818" s="18">
        <v>1000</v>
      </c>
      <c r="I818" s="18" t="s">
        <v>173</v>
      </c>
    </row>
    <row r="819" spans="1:9" ht="12.75">
      <c r="A819" s="5"/>
      <c r="B819" s="5"/>
      <c r="C819" s="7"/>
      <c r="D819" s="6"/>
      <c r="E819" s="18" t="s">
        <v>14</v>
      </c>
      <c r="F819" s="25">
        <f>AVERAGE(F813:F818)</f>
        <v>0.14897018080324304</v>
      </c>
      <c r="G819" s="24">
        <f>AVERAGE(G813:G818)</f>
        <v>2.8135185185185176</v>
      </c>
      <c r="H819" s="6"/>
      <c r="I819" s="18"/>
    </row>
    <row r="820" spans="1:9" ht="12.75">
      <c r="A820" s="5"/>
      <c r="B820" s="5"/>
      <c r="C820" s="7"/>
      <c r="D820" s="6"/>
      <c r="E820" s="16"/>
      <c r="F820" s="22"/>
      <c r="G820" s="21"/>
      <c r="H820" s="6"/>
      <c r="I820" s="18"/>
    </row>
    <row r="821" spans="1:9" ht="12.75">
      <c r="A821" s="1" t="s">
        <v>0</v>
      </c>
      <c r="B821" s="1" t="s">
        <v>1</v>
      </c>
      <c r="C821" s="2" t="s">
        <v>177</v>
      </c>
      <c r="D821" s="2" t="s">
        <v>3</v>
      </c>
      <c r="E821" s="2" t="s">
        <v>4</v>
      </c>
      <c r="F821" s="2" t="s">
        <v>5</v>
      </c>
      <c r="G821" s="2" t="s">
        <v>6</v>
      </c>
      <c r="H821" s="2" t="s">
        <v>7</v>
      </c>
      <c r="I821" s="2" t="s">
        <v>8</v>
      </c>
    </row>
    <row r="822" spans="1:9" ht="12.75">
      <c r="A822" s="1" t="s">
        <v>178</v>
      </c>
      <c r="B822" s="1" t="s">
        <v>71</v>
      </c>
      <c r="C822" s="3">
        <f>(3/2)^1.54*E822</f>
        <v>53.60604066065583</v>
      </c>
      <c r="D822" s="2">
        <v>50.81</v>
      </c>
      <c r="E822" s="2">
        <v>28.71</v>
      </c>
      <c r="F822" s="4">
        <f>-((D822-C822)/D822)</f>
        <v>0.055029337938512626</v>
      </c>
      <c r="G822" s="3">
        <f>C822-D822</f>
        <v>2.7960406606558266</v>
      </c>
      <c r="H822" s="2">
        <v>1860</v>
      </c>
      <c r="I822" s="2" t="s">
        <v>179</v>
      </c>
    </row>
    <row r="823" spans="1:9" ht="12.75">
      <c r="A823" s="1"/>
      <c r="B823" s="1" t="s">
        <v>51</v>
      </c>
      <c r="C823" s="3">
        <f>(3/2)^1.54*E823</f>
        <v>40.03181859158694</v>
      </c>
      <c r="D823" s="2">
        <v>40.07</v>
      </c>
      <c r="E823" s="2">
        <v>21.44</v>
      </c>
      <c r="F823" s="4">
        <f>-((D823-C823)/D823)</f>
        <v>-0.0009528676918657253</v>
      </c>
      <c r="G823" s="3">
        <f>C823-D823</f>
        <v>-0.038181408413059614</v>
      </c>
      <c r="H823" s="2">
        <v>1860</v>
      </c>
      <c r="I823" s="2" t="s">
        <v>179</v>
      </c>
    </row>
    <row r="824" spans="1:9" ht="12.75">
      <c r="A824" s="1"/>
      <c r="B824" s="1" t="s">
        <v>28</v>
      </c>
      <c r="C824" s="3">
        <f>(3/2)^1.54*E824</f>
        <v>46.32413336088022</v>
      </c>
      <c r="D824" s="2">
        <v>45.93</v>
      </c>
      <c r="E824" s="2">
        <v>24.81</v>
      </c>
      <c r="F824" s="4">
        <f>-((D824-C824)/D824)</f>
        <v>0.00858117485042931</v>
      </c>
      <c r="G824" s="3">
        <f>C824-D824</f>
        <v>0.3941333608802182</v>
      </c>
      <c r="H824" s="2">
        <v>1860</v>
      </c>
      <c r="I824" s="2" t="s">
        <v>179</v>
      </c>
    </row>
    <row r="825" spans="1:9" ht="12.75">
      <c r="A825" s="1"/>
      <c r="B825" s="1" t="s">
        <v>67</v>
      </c>
      <c r="C825" s="3">
        <f>(3/2)^1.54*E825</f>
        <v>36.55890895630934</v>
      </c>
      <c r="D825" s="2">
        <v>36.55</v>
      </c>
      <c r="E825" s="2">
        <v>19.58</v>
      </c>
      <c r="F825" s="4">
        <f>-((D825-C825)/D825)</f>
        <v>0.00024374709464681165</v>
      </c>
      <c r="G825" s="3">
        <f>C825-D825</f>
        <v>0.008908956309340965</v>
      </c>
      <c r="H825" s="2">
        <v>1860</v>
      </c>
      <c r="I825" s="2" t="s">
        <v>179</v>
      </c>
    </row>
    <row r="826" spans="1:9" ht="12.75">
      <c r="A826" s="1"/>
      <c r="B826" s="1" t="s">
        <v>42</v>
      </c>
      <c r="C826" s="3">
        <f>(3/2)^1.54*E826</f>
        <v>34.33699365201883</v>
      </c>
      <c r="D826" s="2">
        <v>36.24</v>
      </c>
      <c r="E826" s="2">
        <v>18.39</v>
      </c>
      <c r="F826" s="4">
        <f>-((D826-C826)/D826)</f>
        <v>-0.0525112126926371</v>
      </c>
      <c r="G826" s="3">
        <f>C826-D826</f>
        <v>-1.9030063479811687</v>
      </c>
      <c r="H826" s="2">
        <v>1860</v>
      </c>
      <c r="I826" s="2" t="s">
        <v>179</v>
      </c>
    </row>
    <row r="827" spans="1:8" ht="12.75">
      <c r="A827" s="1"/>
      <c r="C827" s="28"/>
      <c r="D827" s="6"/>
      <c r="E827" s="2" t="s">
        <v>14</v>
      </c>
      <c r="F827" s="4">
        <f>AVERAGE(F822:F826)</f>
        <v>0.002078035899817185</v>
      </c>
      <c r="G827" s="3">
        <f>AVERAGE(G822:G826)</f>
        <v>0.2515790442902315</v>
      </c>
      <c r="H827" s="6"/>
    </row>
    <row r="828" spans="3:8" ht="12.75">
      <c r="C828" s="28"/>
      <c r="D828" s="6"/>
      <c r="E828" s="2"/>
      <c r="F828" s="4"/>
      <c r="G828" s="3"/>
      <c r="H828" s="6"/>
    </row>
    <row r="829" spans="1:9" ht="12.75">
      <c r="A829" s="5" t="s">
        <v>0</v>
      </c>
      <c r="B829" s="5" t="s">
        <v>1</v>
      </c>
      <c r="C829" s="6" t="s">
        <v>15</v>
      </c>
      <c r="D829" s="6" t="s">
        <v>3</v>
      </c>
      <c r="E829" s="6" t="s">
        <v>4</v>
      </c>
      <c r="F829" s="6" t="s">
        <v>5</v>
      </c>
      <c r="G829" s="6" t="s">
        <v>6</v>
      </c>
      <c r="H829" s="6" t="s">
        <v>7</v>
      </c>
      <c r="I829" s="6" t="s">
        <v>8</v>
      </c>
    </row>
    <row r="830" spans="1:9" ht="12.75">
      <c r="A830" s="5" t="s">
        <v>178</v>
      </c>
      <c r="B830" s="5" t="s">
        <v>71</v>
      </c>
      <c r="C830" s="7">
        <f>(3/2)^2*E830</f>
        <v>64.5975</v>
      </c>
      <c r="D830" s="6">
        <v>50.81</v>
      </c>
      <c r="E830" s="6">
        <v>28.71</v>
      </c>
      <c r="F830" s="8">
        <f>-((D830-C830)/D830)</f>
        <v>0.2713540641605982</v>
      </c>
      <c r="G830" s="7">
        <f>C830-D830</f>
        <v>13.787499999999994</v>
      </c>
      <c r="H830" s="6">
        <v>1860</v>
      </c>
      <c r="I830" s="6" t="s">
        <v>179</v>
      </c>
    </row>
    <row r="831" spans="1:9" ht="12.75">
      <c r="A831" s="5"/>
      <c r="B831" s="5" t="s">
        <v>51</v>
      </c>
      <c r="C831" s="7">
        <f>(3/2)^2*E831</f>
        <v>48.24</v>
      </c>
      <c r="D831" s="6">
        <v>40.07</v>
      </c>
      <c r="E831" s="6">
        <v>21.44</v>
      </c>
      <c r="F831" s="8">
        <f>-((D831-C831)/D831)</f>
        <v>0.203893186922885</v>
      </c>
      <c r="G831" s="7">
        <f>C831-D831</f>
        <v>8.170000000000002</v>
      </c>
      <c r="H831" s="6">
        <v>1860</v>
      </c>
      <c r="I831" s="6" t="s">
        <v>179</v>
      </c>
    </row>
    <row r="832" spans="1:9" ht="12.75">
      <c r="A832" s="5"/>
      <c r="B832" s="5" t="s">
        <v>28</v>
      </c>
      <c r="C832" s="7">
        <f>(3/2)^2*E832</f>
        <v>55.8225</v>
      </c>
      <c r="D832" s="6">
        <v>45.93</v>
      </c>
      <c r="E832" s="6">
        <v>24.81</v>
      </c>
      <c r="F832" s="8">
        <f>-((D832-C832)/D832)</f>
        <v>0.2153821032005225</v>
      </c>
      <c r="G832" s="7">
        <f>C832-D832</f>
        <v>9.892499999999998</v>
      </c>
      <c r="H832" s="6">
        <v>1860</v>
      </c>
      <c r="I832" s="6" t="s">
        <v>179</v>
      </c>
    </row>
    <row r="833" spans="1:9" ht="12.75">
      <c r="A833" s="5"/>
      <c r="B833" s="5" t="s">
        <v>67</v>
      </c>
      <c r="C833" s="7">
        <f>(3/2)^2*E833</f>
        <v>44.05499999999999</v>
      </c>
      <c r="D833" s="6">
        <v>36.55</v>
      </c>
      <c r="E833" s="6">
        <v>19.58</v>
      </c>
      <c r="F833" s="8">
        <f>-((D833-C833)/D833)</f>
        <v>0.20533515731874133</v>
      </c>
      <c r="G833" s="7">
        <f>C833-D833</f>
        <v>7.5049999999999955</v>
      </c>
      <c r="H833" s="6">
        <v>1860</v>
      </c>
      <c r="I833" s="6" t="s">
        <v>179</v>
      </c>
    </row>
    <row r="834" spans="1:9" ht="12.75">
      <c r="A834" s="5"/>
      <c r="B834" s="5" t="s">
        <v>42</v>
      </c>
      <c r="C834" s="7">
        <f>(3/2)^2*E834</f>
        <v>41.3775</v>
      </c>
      <c r="D834" s="6">
        <v>36.24</v>
      </c>
      <c r="E834" s="6">
        <v>18.39</v>
      </c>
      <c r="F834" s="8">
        <f>-((D834-C834)/D834)</f>
        <v>0.14176324503311247</v>
      </c>
      <c r="G834" s="7">
        <f>C834-D834</f>
        <v>5.137499999999996</v>
      </c>
      <c r="H834" s="6">
        <v>1860</v>
      </c>
      <c r="I834" s="6" t="s">
        <v>179</v>
      </c>
    </row>
    <row r="835" spans="1:9" ht="12.75">
      <c r="A835" s="5"/>
      <c r="B835" s="5"/>
      <c r="C835" s="7"/>
      <c r="D835" s="6"/>
      <c r="E835" s="6" t="s">
        <v>14</v>
      </c>
      <c r="F835" s="8">
        <f>AVERAGE(F830:F834)</f>
        <v>0.20754555132717187</v>
      </c>
      <c r="G835" s="7">
        <f>AVERAGE(G830:G834)</f>
        <v>8.898499999999997</v>
      </c>
      <c r="H835" s="6"/>
      <c r="I835" s="5"/>
    </row>
    <row r="836" ht="12.75">
      <c r="A836" s="5"/>
    </row>
    <row r="837" spans="1:9" ht="12.75">
      <c r="A837" s="20" t="s">
        <v>0</v>
      </c>
      <c r="B837" s="20" t="s">
        <v>1</v>
      </c>
      <c r="C837" s="16" t="s">
        <v>180</v>
      </c>
      <c r="D837" s="16" t="s">
        <v>73</v>
      </c>
      <c r="E837" s="16" t="s">
        <v>3</v>
      </c>
      <c r="F837" s="16" t="s">
        <v>5</v>
      </c>
      <c r="G837" s="16" t="s">
        <v>6</v>
      </c>
      <c r="H837" s="16" t="s">
        <v>7</v>
      </c>
      <c r="I837" s="16" t="s">
        <v>8</v>
      </c>
    </row>
    <row r="838" spans="1:9" ht="12.75">
      <c r="A838" s="20" t="s">
        <v>178</v>
      </c>
      <c r="B838" s="20" t="s">
        <v>35</v>
      </c>
      <c r="C838" s="21">
        <f>(4/3)^1.58*E838</f>
        <v>47.18457314575259</v>
      </c>
      <c r="D838" s="16">
        <v>47.39</v>
      </c>
      <c r="E838" s="16">
        <v>29.95</v>
      </c>
      <c r="F838" s="22">
        <f>-((D838-C838)/D838)</f>
        <v>-0.004334814396442569</v>
      </c>
      <c r="G838" s="21">
        <f>C838-D838</f>
        <v>-0.20542685424741336</v>
      </c>
      <c r="H838" s="16">
        <v>1860</v>
      </c>
      <c r="I838" s="16" t="s">
        <v>179</v>
      </c>
    </row>
    <row r="839" spans="2:9" ht="12.75">
      <c r="B839" s="20" t="s">
        <v>22</v>
      </c>
      <c r="C839" s="21">
        <f>(4/3)^1.58*E839</f>
        <v>37.464078444273675</v>
      </c>
      <c r="D839" s="16">
        <v>36.23</v>
      </c>
      <c r="E839" s="16">
        <v>23.78</v>
      </c>
      <c r="F839" s="22">
        <f>-((D839-C839)/D839)</f>
        <v>0.034062336303441285</v>
      </c>
      <c r="G839" s="21">
        <f>C839-D839</f>
        <v>1.2340784442736776</v>
      </c>
      <c r="H839" s="16">
        <v>1860</v>
      </c>
      <c r="I839" s="16" t="s">
        <v>179</v>
      </c>
    </row>
    <row r="840" spans="2:9" ht="12.75">
      <c r="B840" s="20" t="s">
        <v>13</v>
      </c>
      <c r="C840" s="21">
        <f>(4/3)^1.58*E840</f>
        <v>29.035448516735233</v>
      </c>
      <c r="D840" s="16">
        <v>29.92</v>
      </c>
      <c r="E840" s="16">
        <v>18.43</v>
      </c>
      <c r="F840" s="22">
        <f>-((D840-C840)/D840)</f>
        <v>-0.029563886472752963</v>
      </c>
      <c r="G840" s="21">
        <f>C840-D840</f>
        <v>-0.8845514832647687</v>
      </c>
      <c r="H840" s="16">
        <v>1860</v>
      </c>
      <c r="I840" s="16" t="s">
        <v>179</v>
      </c>
    </row>
    <row r="841" spans="2:9" ht="12.75">
      <c r="B841" s="20"/>
      <c r="C841" s="21"/>
      <c r="D841" s="16"/>
      <c r="E841" s="16" t="s">
        <v>14</v>
      </c>
      <c r="F841" s="22">
        <f>AVERAGE(F838:F840)</f>
        <v>5.454514474858424E-05</v>
      </c>
      <c r="G841" s="21">
        <f>AVERAGE(G838:G840)</f>
        <v>0.04803336892049851</v>
      </c>
      <c r="H841" s="16"/>
      <c r="I841" s="16"/>
    </row>
    <row r="842" spans="2:9" ht="12.75">
      <c r="B842" s="20"/>
      <c r="C842" s="21"/>
      <c r="D842" s="16"/>
      <c r="E842" s="16"/>
      <c r="F842" s="22"/>
      <c r="G842" s="21"/>
      <c r="H842" s="16"/>
      <c r="I842" s="16"/>
    </row>
    <row r="843" spans="1:9" ht="12.75">
      <c r="A843" s="23" t="s">
        <v>0</v>
      </c>
      <c r="B843" s="23" t="s">
        <v>1</v>
      </c>
      <c r="C843" s="18" t="s">
        <v>74</v>
      </c>
      <c r="D843" s="18" t="s">
        <v>73</v>
      </c>
      <c r="E843" s="18" t="s">
        <v>3</v>
      </c>
      <c r="F843" s="18" t="s">
        <v>5</v>
      </c>
      <c r="G843" s="18" t="s">
        <v>6</v>
      </c>
      <c r="H843" s="18" t="s">
        <v>7</v>
      </c>
      <c r="I843" s="18" t="s">
        <v>8</v>
      </c>
    </row>
    <row r="844" spans="1:9" ht="12.75">
      <c r="A844" s="23" t="s">
        <v>178</v>
      </c>
      <c r="B844" s="23" t="s">
        <v>35</v>
      </c>
      <c r="C844" s="24">
        <f>(4/3)^2*E844</f>
        <v>53.24444444444444</v>
      </c>
      <c r="D844" s="18">
        <v>47.39</v>
      </c>
      <c r="E844" s="18">
        <v>29.95</v>
      </c>
      <c r="F844" s="25">
        <f>-((D844-C844)/D844)</f>
        <v>0.12353754894375268</v>
      </c>
      <c r="G844" s="24">
        <f>C844-D844</f>
        <v>5.8544444444444395</v>
      </c>
      <c r="H844" s="18">
        <v>1860</v>
      </c>
      <c r="I844" s="18" t="s">
        <v>179</v>
      </c>
    </row>
    <row r="845" spans="1:9" ht="12.75">
      <c r="A845" s="5"/>
      <c r="B845" s="23" t="s">
        <v>22</v>
      </c>
      <c r="C845" s="24">
        <f>(4/3)^2*E845</f>
        <v>42.275555555555556</v>
      </c>
      <c r="D845" s="18">
        <v>36.23</v>
      </c>
      <c r="E845" s="18">
        <v>23.78</v>
      </c>
      <c r="F845" s="25">
        <f>-((D845-C845)/D845)</f>
        <v>0.16686601036587248</v>
      </c>
      <c r="G845" s="24">
        <f>C845-D845</f>
        <v>6.045555555555559</v>
      </c>
      <c r="H845" s="18">
        <v>1860</v>
      </c>
      <c r="I845" s="18" t="s">
        <v>179</v>
      </c>
    </row>
    <row r="846" spans="1:9" ht="12.75">
      <c r="A846" s="5"/>
      <c r="B846" s="23" t="s">
        <v>13</v>
      </c>
      <c r="C846" s="24">
        <f>(4/3)^2*E846</f>
        <v>32.76444444444444</v>
      </c>
      <c r="D846" s="18">
        <v>29.92</v>
      </c>
      <c r="E846" s="18">
        <v>18.43</v>
      </c>
      <c r="F846" s="25">
        <f>-((D846-C846)/D846)</f>
        <v>0.0950683303624479</v>
      </c>
      <c r="G846" s="24">
        <f>C846-D846</f>
        <v>2.8444444444444414</v>
      </c>
      <c r="H846" s="18">
        <v>1860</v>
      </c>
      <c r="I846" s="18" t="s">
        <v>179</v>
      </c>
    </row>
    <row r="847" spans="1:9" ht="12.75">
      <c r="A847" s="5"/>
      <c r="B847" s="23"/>
      <c r="C847" s="24"/>
      <c r="D847" s="18"/>
      <c r="E847" s="18" t="s">
        <v>14</v>
      </c>
      <c r="F847" s="25">
        <f>AVERAGE(F844:F846)</f>
        <v>0.12849062989069102</v>
      </c>
      <c r="G847" s="24">
        <f>AVERAGE(G844:G846)</f>
        <v>4.914814814814814</v>
      </c>
      <c r="H847" s="18"/>
      <c r="I847" s="18"/>
    </row>
    <row r="848" spans="1:9" ht="12.75">
      <c r="A848" s="5"/>
      <c r="B848" s="23"/>
      <c r="C848" s="24"/>
      <c r="D848" s="18"/>
      <c r="E848" s="18"/>
      <c r="F848" s="25"/>
      <c r="G848" s="24"/>
      <c r="H848" s="18"/>
      <c r="I848" s="18"/>
    </row>
    <row r="849" spans="1:9" ht="12.75">
      <c r="A849" s="20" t="s">
        <v>0</v>
      </c>
      <c r="B849" s="20" t="s">
        <v>1</v>
      </c>
      <c r="C849" s="16" t="s">
        <v>181</v>
      </c>
      <c r="D849" s="16" t="s">
        <v>73</v>
      </c>
      <c r="E849" s="16" t="s">
        <v>3</v>
      </c>
      <c r="F849" s="16" t="s">
        <v>5</v>
      </c>
      <c r="G849" s="16" t="s">
        <v>6</v>
      </c>
      <c r="H849" s="16" t="s">
        <v>7</v>
      </c>
      <c r="I849" s="16" t="s">
        <v>8</v>
      </c>
    </row>
    <row r="850" spans="1:9" ht="12.75">
      <c r="A850" s="20" t="s">
        <v>182</v>
      </c>
      <c r="B850" s="15" t="s">
        <v>39</v>
      </c>
      <c r="C850" s="21">
        <f>(4/3)^1.65*E850</f>
        <v>28.91878741610665</v>
      </c>
      <c r="D850" s="16">
        <v>27.8</v>
      </c>
      <c r="E850" s="16">
        <v>17.99</v>
      </c>
      <c r="F850" s="22">
        <f>-((D850-C850)/D850)</f>
        <v>0.04024415165851255</v>
      </c>
      <c r="G850" s="21">
        <f>C850-D850</f>
        <v>1.118787416106649</v>
      </c>
      <c r="H850" s="16">
        <v>1500</v>
      </c>
      <c r="I850" s="16" t="s">
        <v>179</v>
      </c>
    </row>
    <row r="851" spans="2:9" ht="12.75">
      <c r="B851" s="15" t="s">
        <v>51</v>
      </c>
      <c r="C851" s="21">
        <f>(4/3)^1.65*E851</f>
        <v>38.35476752353</v>
      </c>
      <c r="D851" s="16">
        <v>38.81</v>
      </c>
      <c r="E851" s="16">
        <v>23.86</v>
      </c>
      <c r="F851" s="22">
        <f>-((D851-C851)/D851)</f>
        <v>-0.011729772648028903</v>
      </c>
      <c r="G851" s="21">
        <f>C851-D851</f>
        <v>-0.45523247647000176</v>
      </c>
      <c r="H851" s="16">
        <v>1500</v>
      </c>
      <c r="I851" s="16" t="s">
        <v>179</v>
      </c>
    </row>
    <row r="852" spans="2:9" ht="12.75">
      <c r="B852" s="15" t="s">
        <v>67</v>
      </c>
      <c r="C852" s="21">
        <f>(4/3)^1.65*E852</f>
        <v>34.93080881334061</v>
      </c>
      <c r="D852" s="16">
        <v>33.84</v>
      </c>
      <c r="E852" s="16">
        <v>21.73</v>
      </c>
      <c r="F852" s="22">
        <f>-((D852-C852)/D852)</f>
        <v>0.03223430299469882</v>
      </c>
      <c r="G852" s="21">
        <f>C852-D852</f>
        <v>1.0908088133406082</v>
      </c>
      <c r="H852" s="16">
        <v>1500</v>
      </c>
      <c r="I852" s="16" t="s">
        <v>179</v>
      </c>
    </row>
    <row r="853" spans="2:9" ht="12.75">
      <c r="B853" s="15" t="s">
        <v>42</v>
      </c>
      <c r="C853" s="21">
        <f>(4/3)^1.65*E853</f>
        <v>32.85714367900056</v>
      </c>
      <c r="D853" s="16">
        <v>32.6</v>
      </c>
      <c r="E853" s="16">
        <v>20.44</v>
      </c>
      <c r="F853" s="22">
        <f>-((D853-C853)/D853)</f>
        <v>0.007887842914127495</v>
      </c>
      <c r="G853" s="21">
        <f>C853-D853</f>
        <v>0.25714367900055635</v>
      </c>
      <c r="H853" s="16">
        <v>1500</v>
      </c>
      <c r="I853" s="16" t="s">
        <v>179</v>
      </c>
    </row>
    <row r="854" spans="2:9" ht="12.75">
      <c r="B854" s="15" t="s">
        <v>35</v>
      </c>
      <c r="C854" s="21">
        <f>(4/3)^1.65*E854</f>
        <v>26.346799652584107</v>
      </c>
      <c r="D854" s="16">
        <v>27.88</v>
      </c>
      <c r="E854" s="16">
        <v>16.39</v>
      </c>
      <c r="F854" s="22">
        <f>-((D854-C854)/D854)</f>
        <v>-0.05499283885996745</v>
      </c>
      <c r="G854" s="21">
        <f>C854-D854</f>
        <v>-1.5332003474158924</v>
      </c>
      <c r="H854" s="16">
        <v>1500</v>
      </c>
      <c r="I854" s="16" t="s">
        <v>179</v>
      </c>
    </row>
    <row r="855" spans="2:8" ht="12.75">
      <c r="B855" s="15"/>
      <c r="C855" s="21"/>
      <c r="D855" s="16"/>
      <c r="E855" s="16" t="s">
        <v>183</v>
      </c>
      <c r="F855" s="22">
        <f>AVERAGE(F850:F854)</f>
        <v>0.002728737211868504</v>
      </c>
      <c r="G855" s="21">
        <f>AVERAGE(G850:G854)</f>
        <v>0.09566141691238386</v>
      </c>
      <c r="H855" s="16"/>
    </row>
    <row r="856" spans="2:8" ht="12.75">
      <c r="B856" s="15"/>
      <c r="C856" s="21"/>
      <c r="D856" s="16"/>
      <c r="E856" s="16"/>
      <c r="F856" s="22"/>
      <c r="G856" s="21"/>
      <c r="H856" s="16"/>
    </row>
    <row r="857" spans="1:9" ht="12.75">
      <c r="A857" s="23" t="s">
        <v>0</v>
      </c>
      <c r="B857" s="23" t="s">
        <v>1</v>
      </c>
      <c r="C857" s="18" t="s">
        <v>74</v>
      </c>
      <c r="D857" s="18" t="s">
        <v>73</v>
      </c>
      <c r="E857" s="18" t="s">
        <v>3</v>
      </c>
      <c r="F857" s="18" t="s">
        <v>5</v>
      </c>
      <c r="G857" s="18" t="s">
        <v>6</v>
      </c>
      <c r="H857" s="18" t="s">
        <v>7</v>
      </c>
      <c r="I857" s="18" t="s">
        <v>8</v>
      </c>
    </row>
    <row r="858" spans="1:9" ht="12.75">
      <c r="A858" s="23" t="s">
        <v>182</v>
      </c>
      <c r="B858" s="17" t="s">
        <v>39</v>
      </c>
      <c r="C858" s="24">
        <f>(4/3)^2*E858</f>
        <v>31.98222222222222</v>
      </c>
      <c r="D858" s="18">
        <v>27.8</v>
      </c>
      <c r="E858" s="18">
        <v>17.99</v>
      </c>
      <c r="F858" s="25">
        <f>-((D858-C858)/D858)</f>
        <v>0.15043964828137477</v>
      </c>
      <c r="G858" s="24">
        <f>C858-D858</f>
        <v>4.182222222222219</v>
      </c>
      <c r="H858" s="18">
        <v>1500</v>
      </c>
      <c r="I858" s="18" t="s">
        <v>179</v>
      </c>
    </row>
    <row r="859" spans="1:9" ht="12.75">
      <c r="A859" s="5"/>
      <c r="B859" s="17" t="s">
        <v>51</v>
      </c>
      <c r="C859" s="24">
        <f>(4/3)^2*E859</f>
        <v>42.41777777777777</v>
      </c>
      <c r="D859" s="18">
        <v>38.81</v>
      </c>
      <c r="E859" s="18">
        <v>23.86</v>
      </c>
      <c r="F859" s="25">
        <f>-((D859-C859)/D859)</f>
        <v>0.09296000458072068</v>
      </c>
      <c r="G859" s="24">
        <f>C859-D859</f>
        <v>3.6077777777777698</v>
      </c>
      <c r="H859" s="18">
        <v>1500</v>
      </c>
      <c r="I859" s="18" t="s">
        <v>179</v>
      </c>
    </row>
    <row r="860" spans="1:9" ht="12.75">
      <c r="A860" s="5"/>
      <c r="B860" s="17" t="s">
        <v>67</v>
      </c>
      <c r="C860" s="24">
        <f>(4/3)^2*E860</f>
        <v>38.63111111111111</v>
      </c>
      <c r="D860" s="18">
        <v>33.84</v>
      </c>
      <c r="E860" s="18">
        <v>21.73</v>
      </c>
      <c r="F860" s="25">
        <f>-((D860-C860)/D860)</f>
        <v>0.14158129760966626</v>
      </c>
      <c r="G860" s="24">
        <f>C860-D860</f>
        <v>4.791111111111107</v>
      </c>
      <c r="H860" s="18">
        <v>1500</v>
      </c>
      <c r="I860" s="18" t="s">
        <v>179</v>
      </c>
    </row>
    <row r="861" spans="1:9" ht="12.75">
      <c r="A861" s="5"/>
      <c r="B861" s="17" t="s">
        <v>42</v>
      </c>
      <c r="C861" s="24">
        <f>(4/3)^2*E861</f>
        <v>36.33777777777778</v>
      </c>
      <c r="D861" s="18">
        <v>32.6</v>
      </c>
      <c r="E861" s="18">
        <v>20.44</v>
      </c>
      <c r="F861" s="25">
        <f>-((D861-C861)/D861)</f>
        <v>0.11465576005453311</v>
      </c>
      <c r="G861" s="24">
        <f>C861-D861</f>
        <v>3.7377777777777794</v>
      </c>
      <c r="H861" s="18">
        <v>1500</v>
      </c>
      <c r="I861" s="18" t="s">
        <v>179</v>
      </c>
    </row>
    <row r="862" spans="1:9" ht="12.75">
      <c r="A862" s="5"/>
      <c r="B862" s="17" t="s">
        <v>35</v>
      </c>
      <c r="C862" s="24">
        <f>(4/3)^2*E862</f>
        <v>29.137777777777778</v>
      </c>
      <c r="D862" s="18">
        <v>27.88</v>
      </c>
      <c r="E862" s="18">
        <v>16.39</v>
      </c>
      <c r="F862" s="25">
        <f>-((D862-C862)/D862)</f>
        <v>0.04511398055157027</v>
      </c>
      <c r="G862" s="24">
        <f>C862-D862</f>
        <v>1.257777777777779</v>
      </c>
      <c r="H862" s="18">
        <v>1500</v>
      </c>
      <c r="I862" s="18" t="s">
        <v>179</v>
      </c>
    </row>
    <row r="863" spans="1:9" ht="12.75">
      <c r="A863" s="5"/>
      <c r="B863" s="17"/>
      <c r="C863" s="24"/>
      <c r="D863" s="18"/>
      <c r="E863" s="18" t="s">
        <v>183</v>
      </c>
      <c r="F863" s="25">
        <f>AVERAGE(F858:F862)</f>
        <v>0.10895013821557302</v>
      </c>
      <c r="G863" s="24">
        <f>AVERAGE(G858:G862)</f>
        <v>3.5153333333333308</v>
      </c>
      <c r="H863" s="18"/>
      <c r="I863" s="5"/>
    </row>
    <row r="864" spans="1:9" ht="12.75">
      <c r="A864" s="5"/>
      <c r="B864" s="17"/>
      <c r="C864" s="24"/>
      <c r="D864" s="18"/>
      <c r="E864" s="18"/>
      <c r="F864" s="25"/>
      <c r="G864" s="24"/>
      <c r="H864" s="18"/>
      <c r="I864" s="5"/>
    </row>
    <row r="865" spans="1:9" ht="12.75">
      <c r="A865" s="20" t="s">
        <v>0</v>
      </c>
      <c r="B865" s="20" t="s">
        <v>1</v>
      </c>
      <c r="C865" s="16" t="s">
        <v>184</v>
      </c>
      <c r="D865" s="16" t="s">
        <v>73</v>
      </c>
      <c r="E865" s="16" t="s">
        <v>3</v>
      </c>
      <c r="F865" s="16" t="s">
        <v>5</v>
      </c>
      <c r="G865" s="16" t="s">
        <v>6</v>
      </c>
      <c r="H865" s="16" t="s">
        <v>7</v>
      </c>
      <c r="I865" s="16" t="s">
        <v>8</v>
      </c>
    </row>
    <row r="866" spans="1:9" ht="12.75">
      <c r="A866" s="20" t="s">
        <v>185</v>
      </c>
      <c r="B866" s="20" t="s">
        <v>46</v>
      </c>
      <c r="C866" s="21">
        <f>(4/3)^1.33*E866</f>
        <v>31.05235020614187</v>
      </c>
      <c r="D866" s="16">
        <v>31.31</v>
      </c>
      <c r="E866" s="16">
        <v>21.18</v>
      </c>
      <c r="F866" s="22">
        <f>-((D866-C866)/D866)</f>
        <v>-0.008228993735487971</v>
      </c>
      <c r="G866" s="21">
        <f>C866-D866</f>
        <v>-0.25764979385812836</v>
      </c>
      <c r="H866" s="16">
        <v>1250</v>
      </c>
      <c r="I866" s="16" t="s">
        <v>179</v>
      </c>
    </row>
    <row r="867" spans="2:9" ht="12.75">
      <c r="B867" s="15" t="s">
        <v>39</v>
      </c>
      <c r="C867" s="21">
        <f>(4/3)^1.33*E867</f>
        <v>16.87500240192129</v>
      </c>
      <c r="D867" s="16">
        <v>17.52</v>
      </c>
      <c r="E867" s="16">
        <v>11.51</v>
      </c>
      <c r="F867" s="22">
        <f>-((D867-C867)/D867)</f>
        <v>-0.036814931397186654</v>
      </c>
      <c r="G867" s="21">
        <f>C867-D867</f>
        <v>-0.6449975980787102</v>
      </c>
      <c r="H867" s="16">
        <v>1250</v>
      </c>
      <c r="I867" s="16" t="s">
        <v>179</v>
      </c>
    </row>
    <row r="868" spans="2:9" ht="12.75">
      <c r="B868" s="15" t="s">
        <v>84</v>
      </c>
      <c r="C868" s="21">
        <f>(4/3)^1.33*E868</f>
        <v>37.16605654984403</v>
      </c>
      <c r="D868" s="16">
        <v>35.62</v>
      </c>
      <c r="E868" s="16">
        <v>25.35</v>
      </c>
      <c r="F868" s="22">
        <f>-((D868-C868)/D868)</f>
        <v>0.04340417040550342</v>
      </c>
      <c r="G868" s="21">
        <f>C868-D868</f>
        <v>1.5460565498440317</v>
      </c>
      <c r="H868" s="16">
        <v>1250</v>
      </c>
      <c r="I868" s="16" t="s">
        <v>179</v>
      </c>
    </row>
    <row r="869" spans="2:9" ht="12.75">
      <c r="B869" s="15" t="s">
        <v>71</v>
      </c>
      <c r="C869" s="21">
        <f>(4/3)^1.33*E869</f>
        <v>32.401177504992226</v>
      </c>
      <c r="D869" s="16">
        <v>31.88</v>
      </c>
      <c r="E869" s="16">
        <v>22.1</v>
      </c>
      <c r="F869" s="22">
        <f>-((D869-C869)/D869)</f>
        <v>0.016348102415063594</v>
      </c>
      <c r="G869" s="21">
        <f>C869-D869</f>
        <v>0.5211775049922274</v>
      </c>
      <c r="H869" s="16">
        <v>1250</v>
      </c>
      <c r="I869" s="16" t="s">
        <v>179</v>
      </c>
    </row>
    <row r="870" spans="2:9" ht="12.75">
      <c r="B870" s="15" t="s">
        <v>52</v>
      </c>
      <c r="C870" s="21">
        <f>(4/3)^1.33*E870</f>
        <v>34.145856293722574</v>
      </c>
      <c r="D870" s="16">
        <v>33.26</v>
      </c>
      <c r="E870" s="16">
        <v>23.29</v>
      </c>
      <c r="F870" s="22">
        <f>-((D870-C870)/D870)</f>
        <v>0.026634284236998665</v>
      </c>
      <c r="G870" s="21">
        <f>C870-D870</f>
        <v>0.8858562937225756</v>
      </c>
      <c r="H870" s="16">
        <v>1250</v>
      </c>
      <c r="I870" s="16" t="s">
        <v>179</v>
      </c>
    </row>
    <row r="871" spans="2:9" ht="12.75">
      <c r="B871" s="15" t="s">
        <v>51</v>
      </c>
      <c r="C871" s="21">
        <f>(4/3)^1.33*E871</f>
        <v>23.531171898421956</v>
      </c>
      <c r="D871" s="16">
        <v>24.02</v>
      </c>
      <c r="E871" s="16">
        <v>16.05</v>
      </c>
      <c r="F871" s="22">
        <f>-((D871-C871)/D871)</f>
        <v>-0.02035087850033487</v>
      </c>
      <c r="G871" s="21">
        <f>C871-D871</f>
        <v>-0.4888281015780436</v>
      </c>
      <c r="H871" s="16">
        <v>1250</v>
      </c>
      <c r="I871" s="16" t="s">
        <v>179</v>
      </c>
    </row>
    <row r="872" spans="2:9" ht="12.75">
      <c r="B872" s="15" t="s">
        <v>67</v>
      </c>
      <c r="C872" s="21">
        <f>(4/3)^1.33*E872</f>
        <v>21.493269783854572</v>
      </c>
      <c r="D872" s="16">
        <v>21.57</v>
      </c>
      <c r="E872" s="16">
        <v>14.66</v>
      </c>
      <c r="F872" s="22">
        <f>-((D872-C872)/D872)</f>
        <v>-0.0035572654680309777</v>
      </c>
      <c r="G872" s="21">
        <f>C872-D872</f>
        <v>-0.07673021614542819</v>
      </c>
      <c r="H872" s="16">
        <v>1250</v>
      </c>
      <c r="I872" s="16" t="s">
        <v>179</v>
      </c>
    </row>
    <row r="873" spans="1:9" ht="12.75">
      <c r="A873" s="5"/>
      <c r="B873" s="17"/>
      <c r="C873" s="24"/>
      <c r="D873" s="18"/>
      <c r="E873" s="16" t="s">
        <v>14</v>
      </c>
      <c r="F873" s="22">
        <f>AVERAGE(F866:F872)</f>
        <v>0.0024906411366464576</v>
      </c>
      <c r="G873" s="21">
        <f>AVERAGE(G866:G872)</f>
        <v>0.2121263769855035</v>
      </c>
      <c r="H873" s="18"/>
      <c r="I873" s="5"/>
    </row>
    <row r="874" spans="1:9" ht="12.75">
      <c r="A874" s="5"/>
      <c r="B874" s="17"/>
      <c r="C874" s="24"/>
      <c r="D874" s="18"/>
      <c r="E874" s="16"/>
      <c r="F874" s="22"/>
      <c r="G874" s="21"/>
      <c r="H874" s="18"/>
      <c r="I874" s="5"/>
    </row>
    <row r="875" spans="1:9" ht="12.75">
      <c r="A875" s="23" t="s">
        <v>0</v>
      </c>
      <c r="B875" s="23" t="s">
        <v>1</v>
      </c>
      <c r="C875" s="18" t="s">
        <v>74</v>
      </c>
      <c r="D875" s="18" t="s">
        <v>73</v>
      </c>
      <c r="E875" s="18" t="s">
        <v>3</v>
      </c>
      <c r="F875" s="18" t="s">
        <v>5</v>
      </c>
      <c r="G875" s="18" t="s">
        <v>6</v>
      </c>
      <c r="H875" s="18" t="s">
        <v>7</v>
      </c>
      <c r="I875" s="18" t="s">
        <v>8</v>
      </c>
    </row>
    <row r="876" spans="1:9" ht="12.75">
      <c r="A876" s="23" t="s">
        <v>185</v>
      </c>
      <c r="B876" s="23" t="s">
        <v>46</v>
      </c>
      <c r="C876" s="24">
        <f>(4/3)^2*E876</f>
        <v>37.65333333333333</v>
      </c>
      <c r="D876" s="18">
        <v>31.31</v>
      </c>
      <c r="E876" s="18">
        <v>21.18</v>
      </c>
      <c r="F876" s="25">
        <f>-((D876-C876)/D876)</f>
        <v>0.2025976791227509</v>
      </c>
      <c r="G876" s="24">
        <f>C876-D876</f>
        <v>6.34333333333333</v>
      </c>
      <c r="H876" s="18">
        <v>1250</v>
      </c>
      <c r="I876" s="18" t="s">
        <v>179</v>
      </c>
    </row>
    <row r="877" spans="1:9" ht="12.75">
      <c r="A877" s="5"/>
      <c r="B877" s="17" t="s">
        <v>39</v>
      </c>
      <c r="C877" s="24">
        <f>(4/3)^2*E877</f>
        <v>20.46222222222222</v>
      </c>
      <c r="D877" s="18">
        <v>17.52</v>
      </c>
      <c r="E877" s="18">
        <v>11.51</v>
      </c>
      <c r="F877" s="25">
        <f>-((D877-C877)/D877)</f>
        <v>0.16793505834601716</v>
      </c>
      <c r="G877" s="24">
        <f>C877-D877</f>
        <v>2.9422222222222203</v>
      </c>
      <c r="H877" s="18">
        <v>1250</v>
      </c>
      <c r="I877" s="18" t="s">
        <v>179</v>
      </c>
    </row>
    <row r="878" spans="1:9" ht="12.75">
      <c r="A878" s="5"/>
      <c r="B878" s="17" t="s">
        <v>84</v>
      </c>
      <c r="C878" s="24">
        <f>(4/3)^2*E878</f>
        <v>45.06666666666667</v>
      </c>
      <c r="D878" s="18">
        <v>35.62</v>
      </c>
      <c r="E878" s="18">
        <v>25.35</v>
      </c>
      <c r="F878" s="25">
        <f>-((D878-C878)/D878)</f>
        <v>0.2652068126520683</v>
      </c>
      <c r="G878" s="24">
        <f>C878-D878</f>
        <v>9.446666666666673</v>
      </c>
      <c r="H878" s="18">
        <v>1250</v>
      </c>
      <c r="I878" s="18" t="s">
        <v>179</v>
      </c>
    </row>
    <row r="879" spans="1:9" ht="12.75">
      <c r="A879" s="5"/>
      <c r="B879" s="17" t="s">
        <v>71</v>
      </c>
      <c r="C879" s="24">
        <f>(4/3)^2*E879</f>
        <v>39.28888888888889</v>
      </c>
      <c r="D879" s="18">
        <v>31.88</v>
      </c>
      <c r="E879" s="18">
        <v>22.1</v>
      </c>
      <c r="F879" s="25">
        <f>-((D879-C879)/D879)</f>
        <v>0.2323992750592501</v>
      </c>
      <c r="G879" s="24">
        <f>C879-D879</f>
        <v>7.408888888888892</v>
      </c>
      <c r="H879" s="18">
        <v>1250</v>
      </c>
      <c r="I879" s="18" t="s">
        <v>179</v>
      </c>
    </row>
    <row r="880" spans="1:9" ht="12.75">
      <c r="A880" s="5"/>
      <c r="B880" s="17" t="s">
        <v>52</v>
      </c>
      <c r="C880" s="24">
        <f>(4/3)^2*E880</f>
        <v>41.404444444444444</v>
      </c>
      <c r="D880" s="18">
        <v>33.26</v>
      </c>
      <c r="E880" s="18">
        <v>23.29</v>
      </c>
      <c r="F880" s="25">
        <f>-((D880-C880)/D880)</f>
        <v>0.24487205184739766</v>
      </c>
      <c r="G880" s="24">
        <f>C880-D880</f>
        <v>8.144444444444446</v>
      </c>
      <c r="H880" s="18">
        <v>1250</v>
      </c>
      <c r="I880" s="18" t="s">
        <v>179</v>
      </c>
    </row>
    <row r="881" spans="1:9" ht="12.75">
      <c r="A881" s="5"/>
      <c r="B881" s="17" t="s">
        <v>51</v>
      </c>
      <c r="C881" s="24">
        <f>(4/3)^2*E881</f>
        <v>28.53333333333333</v>
      </c>
      <c r="D881" s="18">
        <v>24.02</v>
      </c>
      <c r="E881" s="18">
        <v>16.05</v>
      </c>
      <c r="F881" s="25">
        <f>-((D881-C881)/D881)</f>
        <v>0.1878989730779905</v>
      </c>
      <c r="G881" s="24">
        <f>C881-D881</f>
        <v>4.513333333333332</v>
      </c>
      <c r="H881" s="18">
        <v>1250</v>
      </c>
      <c r="I881" s="18" t="s">
        <v>179</v>
      </c>
    </row>
    <row r="882" spans="1:9" ht="12.75">
      <c r="A882" s="5"/>
      <c r="B882" s="17" t="s">
        <v>67</v>
      </c>
      <c r="C882" s="24">
        <f>(4/3)^2*E882</f>
        <v>26.06222222222222</v>
      </c>
      <c r="D882" s="18">
        <v>21.57</v>
      </c>
      <c r="E882" s="18">
        <v>14.66</v>
      </c>
      <c r="F882" s="25">
        <f>-((D882-C882)/D882)</f>
        <v>0.20826250450728886</v>
      </c>
      <c r="G882" s="24">
        <f>C882-D882</f>
        <v>4.492222222222221</v>
      </c>
      <c r="H882" s="18">
        <v>1250</v>
      </c>
      <c r="I882" s="18" t="s">
        <v>179</v>
      </c>
    </row>
    <row r="883" spans="1:9" ht="12.75">
      <c r="A883" s="5"/>
      <c r="B883" s="17"/>
      <c r="C883" s="24"/>
      <c r="D883" s="18"/>
      <c r="E883" s="18" t="s">
        <v>14</v>
      </c>
      <c r="F883" s="25">
        <f>AVERAGE(F876:F882)</f>
        <v>0.2155960506589662</v>
      </c>
      <c r="G883" s="24">
        <f>AVERAGE(G876:G882)</f>
        <v>6.184444444444446</v>
      </c>
      <c r="H883" s="18"/>
      <c r="I883" s="5"/>
    </row>
    <row r="884" spans="1:9" ht="12.75">
      <c r="A884" s="5"/>
      <c r="B884" s="17"/>
      <c r="C884" s="24"/>
      <c r="D884" s="18"/>
      <c r="E884" s="18"/>
      <c r="F884" s="25"/>
      <c r="G884" s="24"/>
      <c r="H884" s="18"/>
      <c r="I884" s="5"/>
    </row>
    <row r="885" spans="1:9" ht="12.75">
      <c r="A885" s="20" t="s">
        <v>0</v>
      </c>
      <c r="B885" s="20" t="s">
        <v>1</v>
      </c>
      <c r="C885" s="16" t="s">
        <v>186</v>
      </c>
      <c r="D885" s="16" t="s">
        <v>73</v>
      </c>
      <c r="E885" s="16" t="s">
        <v>3</v>
      </c>
      <c r="F885" s="16" t="s">
        <v>5</v>
      </c>
      <c r="G885" s="16" t="s">
        <v>6</v>
      </c>
      <c r="H885" s="16" t="s">
        <v>7</v>
      </c>
      <c r="I885" s="16" t="s">
        <v>8</v>
      </c>
    </row>
    <row r="886" spans="1:9" ht="12.75">
      <c r="A886" s="20" t="s">
        <v>187</v>
      </c>
      <c r="B886" s="20" t="s">
        <v>92</v>
      </c>
      <c r="C886" s="21">
        <f>(4/3)^1.47*E886</f>
        <v>30.26792554697254</v>
      </c>
      <c r="D886" s="16">
        <v>28.41</v>
      </c>
      <c r="E886" s="16">
        <v>19.83</v>
      </c>
      <c r="F886" s="22">
        <f>-((D886-C886)/D886)</f>
        <v>0.06539688655306365</v>
      </c>
      <c r="G886" s="21">
        <f>C886-D886</f>
        <v>1.8579255469725382</v>
      </c>
      <c r="H886" s="16">
        <v>940</v>
      </c>
      <c r="I886" s="16" t="s">
        <v>179</v>
      </c>
    </row>
    <row r="887" spans="2:9" ht="12.75">
      <c r="B887" s="20" t="s">
        <v>93</v>
      </c>
      <c r="C887" s="21">
        <f>(4/3)^1.47*E887</f>
        <v>22.636073417125708</v>
      </c>
      <c r="D887" s="16">
        <v>22.24</v>
      </c>
      <c r="E887" s="16">
        <v>14.83</v>
      </c>
      <c r="F887" s="22">
        <f>-((D887-C887)/D887)</f>
        <v>0.017809056525436576</v>
      </c>
      <c r="G887" s="21">
        <f>C887-D887</f>
        <v>0.3960734171257094</v>
      </c>
      <c r="H887" s="16">
        <v>940</v>
      </c>
      <c r="I887" s="16" t="s">
        <v>179</v>
      </c>
    </row>
    <row r="888" spans="2:9" ht="12.75">
      <c r="B888" s="20" t="s">
        <v>44</v>
      </c>
      <c r="C888" s="21">
        <f>(4/3)^1.47*E888</f>
        <v>24.971420168858838</v>
      </c>
      <c r="D888" s="16">
        <v>24.15</v>
      </c>
      <c r="E888" s="16">
        <v>16.36</v>
      </c>
      <c r="F888" s="22">
        <f>-((D888-C888)/D888)</f>
        <v>0.0340132575096828</v>
      </c>
      <c r="G888" s="21">
        <f>C888-D888</f>
        <v>0.8214201688588396</v>
      </c>
      <c r="H888" s="16">
        <v>940</v>
      </c>
      <c r="I888" s="16" t="s">
        <v>179</v>
      </c>
    </row>
    <row r="889" spans="2:9" ht="12.75">
      <c r="B889" s="20" t="s">
        <v>46</v>
      </c>
      <c r="C889" s="21">
        <f>(4/3)^1.47*E889</f>
        <v>17.034293953818132</v>
      </c>
      <c r="D889" s="16">
        <v>16.94</v>
      </c>
      <c r="E889" s="16">
        <v>11.16</v>
      </c>
      <c r="F889" s="22">
        <f>-((D889-C889)/D889)</f>
        <v>0.0055663491037857525</v>
      </c>
      <c r="G889" s="21">
        <f>C889-D889</f>
        <v>0.09429395381813066</v>
      </c>
      <c r="H889" s="16">
        <v>940</v>
      </c>
      <c r="I889" s="16" t="s">
        <v>179</v>
      </c>
    </row>
    <row r="890" spans="2:9" ht="12.75">
      <c r="B890" s="20" t="s">
        <v>55</v>
      </c>
      <c r="C890" s="21">
        <f>(4/3)^1.47*E890</f>
        <v>25.994088354258317</v>
      </c>
      <c r="D890" s="16">
        <v>25.22</v>
      </c>
      <c r="E890" s="16">
        <v>17.03</v>
      </c>
      <c r="F890" s="22">
        <f>-((D890-C890)/D890)</f>
        <v>0.03069343196900546</v>
      </c>
      <c r="G890" s="21">
        <f>C890-D890</f>
        <v>0.7740883542583177</v>
      </c>
      <c r="H890" s="16">
        <v>940</v>
      </c>
      <c r="I890" s="16" t="s">
        <v>179</v>
      </c>
    </row>
    <row r="891" spans="2:9" ht="12.75">
      <c r="B891" s="20" t="s">
        <v>47</v>
      </c>
      <c r="C891" s="21">
        <f>(4/3)^1.47*E891</f>
        <v>19.247531071473713</v>
      </c>
      <c r="D891" s="16">
        <v>19.89</v>
      </c>
      <c r="E891" s="16">
        <v>12.61</v>
      </c>
      <c r="F891" s="22">
        <f>-((D891-C891)/D891)</f>
        <v>-0.03230110249000945</v>
      </c>
      <c r="G891" s="21">
        <f>C891-D891</f>
        <v>-0.6424689285262879</v>
      </c>
      <c r="H891" s="16">
        <v>940</v>
      </c>
      <c r="I891" s="16" t="s">
        <v>179</v>
      </c>
    </row>
    <row r="892" spans="2:9" ht="12.75">
      <c r="B892" s="20" t="s">
        <v>25</v>
      </c>
      <c r="C892" s="21">
        <f>(4/3)^1.47*E892</f>
        <v>15.35528648525183</v>
      </c>
      <c r="D892" s="16">
        <v>16.06</v>
      </c>
      <c r="E892" s="16">
        <v>10.06</v>
      </c>
      <c r="F892" s="22">
        <f>-((D892-C892)/D892)</f>
        <v>-0.043880044504867335</v>
      </c>
      <c r="G892" s="21">
        <f>C892-D892</f>
        <v>-0.7047135147481693</v>
      </c>
      <c r="H892" s="16">
        <v>940</v>
      </c>
      <c r="I892" s="16" t="s">
        <v>179</v>
      </c>
    </row>
    <row r="893" spans="2:9" ht="12.75">
      <c r="B893" s="20" t="s">
        <v>27</v>
      </c>
      <c r="C893" s="21">
        <f>(4/3)^1.47*E893</f>
        <v>10.730384094564648</v>
      </c>
      <c r="D893" s="16">
        <v>11.37</v>
      </c>
      <c r="E893" s="16">
        <v>7.03</v>
      </c>
      <c r="F893" s="22">
        <f>-((D893-C893)/D893)</f>
        <v>-0.05625469704796401</v>
      </c>
      <c r="G893" s="21">
        <f>C893-D893</f>
        <v>-0.6396159054353507</v>
      </c>
      <c r="H893" s="16">
        <v>940</v>
      </c>
      <c r="I893" s="16" t="s">
        <v>179</v>
      </c>
    </row>
    <row r="894" spans="2:9" ht="12.75">
      <c r="B894" s="20" t="s">
        <v>58</v>
      </c>
      <c r="C894" s="21">
        <f>(4/3)^1.47*E894</f>
        <v>18.972784394799227</v>
      </c>
      <c r="D894" s="16">
        <v>18.92</v>
      </c>
      <c r="E894" s="16">
        <v>12.43</v>
      </c>
      <c r="F894" s="22">
        <f>-((D894-C894)/D894)</f>
        <v>0.002789872875223322</v>
      </c>
      <c r="G894" s="21">
        <f>C894-D894</f>
        <v>0.052784394799225254</v>
      </c>
      <c r="H894" s="16">
        <v>940</v>
      </c>
      <c r="I894" s="16" t="s">
        <v>179</v>
      </c>
    </row>
    <row r="895" spans="2:9" ht="12.75">
      <c r="B895" s="20" t="s">
        <v>98</v>
      </c>
      <c r="C895" s="21">
        <f>(4/3)^1.47*E895</f>
        <v>27.947842499499103</v>
      </c>
      <c r="D895" s="16">
        <v>27.2</v>
      </c>
      <c r="E895" s="16">
        <v>18.31</v>
      </c>
      <c r="F895" s="22">
        <f>-((D895-C895)/D895)</f>
        <v>0.027494209540408227</v>
      </c>
      <c r="G895" s="21">
        <f>C895-D895</f>
        <v>0.7478424994991038</v>
      </c>
      <c r="H895" s="16">
        <v>940</v>
      </c>
      <c r="I895" s="16" t="s">
        <v>179</v>
      </c>
    </row>
    <row r="896" spans="2:9" ht="12.75">
      <c r="B896" s="20" t="s">
        <v>103</v>
      </c>
      <c r="C896" s="21">
        <f>(4/3)^1.47*E896</f>
        <v>26.528318003347593</v>
      </c>
      <c r="D896" s="16">
        <v>26.03</v>
      </c>
      <c r="E896" s="16">
        <v>17.38</v>
      </c>
      <c r="F896" s="22">
        <f>-((D896-C896)/D896)</f>
        <v>0.01914398783509765</v>
      </c>
      <c r="G896" s="21">
        <f>C896-D896</f>
        <v>0.4983180033475918</v>
      </c>
      <c r="H896" s="16">
        <v>940</v>
      </c>
      <c r="I896" s="16" t="s">
        <v>179</v>
      </c>
    </row>
    <row r="897" spans="2:9" ht="12.75">
      <c r="B897" s="20" t="s">
        <v>104</v>
      </c>
      <c r="C897" s="21">
        <f>(4/3)^1.47*E897</f>
        <v>23.719796419563956</v>
      </c>
      <c r="D897" s="16">
        <v>23.39</v>
      </c>
      <c r="E897" s="16">
        <v>15.54</v>
      </c>
      <c r="F897" s="22">
        <f>-((D897-C897)/D897)</f>
        <v>0.01409988967780911</v>
      </c>
      <c r="G897" s="21">
        <f>C897-D897</f>
        <v>0.3297964195639551</v>
      </c>
      <c r="H897" s="16">
        <v>940</v>
      </c>
      <c r="I897" s="16" t="s">
        <v>179</v>
      </c>
    </row>
    <row r="898" spans="2:9" ht="12.75">
      <c r="B898" s="20" t="s">
        <v>105</v>
      </c>
      <c r="C898" s="21">
        <f>(4/3)^1.47*E898</f>
        <v>21.15549410393542</v>
      </c>
      <c r="D898" s="16">
        <v>21.44</v>
      </c>
      <c r="E898" s="16">
        <v>13.86</v>
      </c>
      <c r="F898" s="22">
        <f>-((D898-C898)/D898)</f>
        <v>-0.013269864555250937</v>
      </c>
      <c r="G898" s="21">
        <f>C898-D898</f>
        <v>-0.2845058960645801</v>
      </c>
      <c r="H898" s="16">
        <v>940</v>
      </c>
      <c r="I898" s="16" t="s">
        <v>179</v>
      </c>
    </row>
    <row r="899" spans="2:9" ht="12.75">
      <c r="B899" s="20" t="s">
        <v>107</v>
      </c>
      <c r="C899" s="21">
        <f>(4/3)^1.47*E899</f>
        <v>29.871069236220507</v>
      </c>
      <c r="D899" s="16">
        <v>27.98</v>
      </c>
      <c r="E899" s="16">
        <v>19.57</v>
      </c>
      <c r="F899" s="22">
        <f>-((D899-C899)/D899)</f>
        <v>0.06758646305291302</v>
      </c>
      <c r="G899" s="21">
        <f>C899-D899</f>
        <v>1.8910692362205062</v>
      </c>
      <c r="H899" s="16">
        <v>940</v>
      </c>
      <c r="I899" s="16" t="s">
        <v>179</v>
      </c>
    </row>
    <row r="900" spans="2:9" ht="12.75">
      <c r="B900" s="20" t="s">
        <v>83</v>
      </c>
      <c r="C900" s="21">
        <f>(4/3)^1.47*E900</f>
        <v>25.368276479610877</v>
      </c>
      <c r="D900" s="16">
        <v>25.27</v>
      </c>
      <c r="E900" s="16">
        <v>16.62</v>
      </c>
      <c r="F900" s="22">
        <f>-((D900-C900)/D900)</f>
        <v>0.0038890573648942416</v>
      </c>
      <c r="G900" s="21">
        <f>C900-D900</f>
        <v>0.09827647961087749</v>
      </c>
      <c r="H900" s="16">
        <v>940</v>
      </c>
      <c r="I900" s="16" t="s">
        <v>179</v>
      </c>
    </row>
    <row r="901" spans="2:9" ht="12.75">
      <c r="B901" s="20" t="s">
        <v>84</v>
      </c>
      <c r="C901" s="21">
        <f>(4/3)^1.47*E901</f>
        <v>18.301181407372706</v>
      </c>
      <c r="D901" s="16">
        <v>18.79</v>
      </c>
      <c r="E901" s="16">
        <v>11.99</v>
      </c>
      <c r="F901" s="22">
        <f>-((D901-C901)/D901)</f>
        <v>-0.026014826643283303</v>
      </c>
      <c r="G901" s="21">
        <f>C901-D901</f>
        <v>-0.4888185926272932</v>
      </c>
      <c r="H901" s="16">
        <v>940</v>
      </c>
      <c r="I901" s="16" t="s">
        <v>179</v>
      </c>
    </row>
    <row r="902" spans="2:9" ht="12.75">
      <c r="B902" s="20" t="s">
        <v>71</v>
      </c>
      <c r="C902" s="21">
        <f>(4/3)^1.47*E902</f>
        <v>15.675824274705395</v>
      </c>
      <c r="D902" s="16">
        <v>16.36</v>
      </c>
      <c r="E902" s="16">
        <v>10.27</v>
      </c>
      <c r="F902" s="22">
        <f>-((D902-C902)/D902)</f>
        <v>-0.04182003210847216</v>
      </c>
      <c r="G902" s="21">
        <f>C902-D902</f>
        <v>-0.6841757252946046</v>
      </c>
      <c r="H902" s="16">
        <v>940</v>
      </c>
      <c r="I902" s="16" t="s">
        <v>179</v>
      </c>
    </row>
    <row r="903" spans="2:9" ht="12.75">
      <c r="B903" s="20" t="s">
        <v>50</v>
      </c>
      <c r="C903" s="21">
        <f>(4/3)^1.47*E903</f>
        <v>21.56761411894715</v>
      </c>
      <c r="D903" s="16">
        <v>21.78</v>
      </c>
      <c r="E903" s="16">
        <v>14.13</v>
      </c>
      <c r="F903" s="22">
        <f>-((D903-C903)/D903)</f>
        <v>-0.009751417862848926</v>
      </c>
      <c r="G903" s="21">
        <f>C903-D903</f>
        <v>-0.2123858810528496</v>
      </c>
      <c r="H903" s="16">
        <v>940</v>
      </c>
      <c r="I903" s="16" t="s">
        <v>179</v>
      </c>
    </row>
    <row r="904" spans="2:9" ht="12.75">
      <c r="B904" s="20" t="s">
        <v>52</v>
      </c>
      <c r="C904" s="21">
        <f>(4/3)^1.47*E904</f>
        <v>16.301636149352834</v>
      </c>
      <c r="D904" s="16">
        <v>17.28</v>
      </c>
      <c r="E904" s="16">
        <v>10.68</v>
      </c>
      <c r="F904" s="22">
        <f>-((D904-C904)/D904)</f>
        <v>-0.05661827839393326</v>
      </c>
      <c r="G904" s="21">
        <f>C904-D904</f>
        <v>-0.9783638506471668</v>
      </c>
      <c r="H904" s="16">
        <v>940</v>
      </c>
      <c r="I904" s="16" t="s">
        <v>179</v>
      </c>
    </row>
    <row r="905" spans="1:9" ht="12.75">
      <c r="A905" s="5"/>
      <c r="B905" s="17"/>
      <c r="C905" s="24"/>
      <c r="D905" s="18"/>
      <c r="E905" s="16" t="s">
        <v>14</v>
      </c>
      <c r="F905" s="22">
        <f>AVERAGE(F886:F904)</f>
        <v>0.0004511683368784436</v>
      </c>
      <c r="G905" s="21">
        <f>AVERAGE(G886:G904)</f>
        <v>0.15404421998307857</v>
      </c>
      <c r="H905" s="18"/>
      <c r="I905" s="5"/>
    </row>
    <row r="906" spans="1:9" ht="12.75">
      <c r="A906" s="5"/>
      <c r="B906" s="17"/>
      <c r="C906" s="24"/>
      <c r="D906" s="18"/>
      <c r="E906" s="18"/>
      <c r="F906" s="25"/>
      <c r="G906" s="24"/>
      <c r="H906" s="18"/>
      <c r="I906" s="5"/>
    </row>
    <row r="907" spans="1:9" ht="12.75">
      <c r="A907" s="23" t="s">
        <v>0</v>
      </c>
      <c r="B907" s="23" t="s">
        <v>1</v>
      </c>
      <c r="C907" s="18" t="s">
        <v>74</v>
      </c>
      <c r="D907" s="18" t="s">
        <v>73</v>
      </c>
      <c r="E907" s="18" t="s">
        <v>3</v>
      </c>
      <c r="F907" s="18" t="s">
        <v>5</v>
      </c>
      <c r="G907" s="18" t="s">
        <v>6</v>
      </c>
      <c r="H907" s="18" t="s">
        <v>7</v>
      </c>
      <c r="I907" s="18" t="s">
        <v>8</v>
      </c>
    </row>
    <row r="908" spans="1:9" ht="12.75">
      <c r="A908" s="23" t="s">
        <v>187</v>
      </c>
      <c r="B908" s="23" t="s">
        <v>92</v>
      </c>
      <c r="C908" s="24">
        <f>(4/3)^2*E908</f>
        <v>35.25333333333333</v>
      </c>
      <c r="D908" s="18">
        <v>28.41</v>
      </c>
      <c r="E908" s="18">
        <v>19.83</v>
      </c>
      <c r="F908" s="25">
        <f>-((D908-C908)/D908)</f>
        <v>0.24087762524932524</v>
      </c>
      <c r="G908" s="24">
        <f>C908-D908</f>
        <v>6.84333333333333</v>
      </c>
      <c r="H908" s="18">
        <v>940</v>
      </c>
      <c r="I908" s="18" t="s">
        <v>179</v>
      </c>
    </row>
    <row r="909" spans="1:9" ht="12.75">
      <c r="A909" s="5"/>
      <c r="B909" s="23" t="s">
        <v>93</v>
      </c>
      <c r="C909" s="24">
        <f>(4/3)^2*E909</f>
        <v>26.364444444444445</v>
      </c>
      <c r="D909" s="18">
        <v>22.24</v>
      </c>
      <c r="E909" s="18">
        <v>14.83</v>
      </c>
      <c r="F909" s="25">
        <f>-((D909-C909)/D909)</f>
        <v>0.18545163868904885</v>
      </c>
      <c r="G909" s="24">
        <f>C909-D909</f>
        <v>4.124444444444446</v>
      </c>
      <c r="H909" s="18">
        <v>940</v>
      </c>
      <c r="I909" s="18" t="s">
        <v>179</v>
      </c>
    </row>
    <row r="910" spans="1:9" ht="12.75">
      <c r="A910" s="5"/>
      <c r="B910" s="23" t="s">
        <v>44</v>
      </c>
      <c r="C910" s="24">
        <f>(4/3)^2*E910</f>
        <v>29.084444444444443</v>
      </c>
      <c r="D910" s="18">
        <v>24.15</v>
      </c>
      <c r="E910" s="18">
        <v>16.36</v>
      </c>
      <c r="F910" s="25">
        <f>-((D910-C910)/D910)</f>
        <v>0.2043248217161261</v>
      </c>
      <c r="G910" s="24">
        <f>C910-D910</f>
        <v>4.934444444444445</v>
      </c>
      <c r="H910" s="18">
        <v>940</v>
      </c>
      <c r="I910" s="18" t="s">
        <v>179</v>
      </c>
    </row>
    <row r="911" spans="1:9" ht="12.75">
      <c r="A911" s="5"/>
      <c r="B911" s="23" t="s">
        <v>46</v>
      </c>
      <c r="C911" s="24">
        <f>(4/3)^2*E911</f>
        <v>19.84</v>
      </c>
      <c r="D911" s="18">
        <v>16.94</v>
      </c>
      <c r="E911" s="18">
        <v>11.16</v>
      </c>
      <c r="F911" s="25">
        <f>-((D911-C911)/D911)</f>
        <v>0.17119244391971655</v>
      </c>
      <c r="G911" s="24">
        <f>C911-D911</f>
        <v>2.8999999999999986</v>
      </c>
      <c r="H911" s="18">
        <v>940</v>
      </c>
      <c r="I911" s="18" t="s">
        <v>179</v>
      </c>
    </row>
    <row r="912" spans="1:9" ht="12.75">
      <c r="A912" s="5"/>
      <c r="B912" s="23" t="s">
        <v>55</v>
      </c>
      <c r="C912" s="24">
        <f>(4/3)^2*E912</f>
        <v>30.275555555555556</v>
      </c>
      <c r="D912" s="18">
        <v>25.22</v>
      </c>
      <c r="E912" s="18">
        <v>17.03</v>
      </c>
      <c r="F912" s="25">
        <f>-((D912-C912)/D912)</f>
        <v>0.20045819014891186</v>
      </c>
      <c r="G912" s="24">
        <f>C912-D912</f>
        <v>5.055555555555557</v>
      </c>
      <c r="H912" s="18">
        <v>940</v>
      </c>
      <c r="I912" s="18" t="s">
        <v>179</v>
      </c>
    </row>
    <row r="913" spans="1:9" ht="12.75">
      <c r="A913" s="5"/>
      <c r="B913" s="23" t="s">
        <v>47</v>
      </c>
      <c r="C913" s="24">
        <f>(4/3)^2*E913</f>
        <v>22.417777777777776</v>
      </c>
      <c r="D913" s="18">
        <v>19.89</v>
      </c>
      <c r="E913" s="18">
        <v>12.61</v>
      </c>
      <c r="F913" s="25">
        <f>-((D913-C913)/D913)</f>
        <v>0.12708787218591125</v>
      </c>
      <c r="G913" s="24">
        <f>C913-D913</f>
        <v>2.527777777777775</v>
      </c>
      <c r="H913" s="18">
        <v>940</v>
      </c>
      <c r="I913" s="18" t="s">
        <v>179</v>
      </c>
    </row>
    <row r="914" spans="1:9" ht="12.75">
      <c r="A914" s="5"/>
      <c r="B914" s="23" t="s">
        <v>25</v>
      </c>
      <c r="C914" s="24">
        <f>(4/3)^2*E914</f>
        <v>17.884444444444444</v>
      </c>
      <c r="D914" s="18">
        <v>16.06</v>
      </c>
      <c r="E914" s="18">
        <v>10.06</v>
      </c>
      <c r="F914" s="25">
        <f>-((D914-C914)/D914)</f>
        <v>0.11360177113601778</v>
      </c>
      <c r="G914" s="24">
        <f>C914-D914</f>
        <v>1.8244444444444454</v>
      </c>
      <c r="H914" s="18">
        <v>940</v>
      </c>
      <c r="I914" s="18" t="s">
        <v>179</v>
      </c>
    </row>
    <row r="915" spans="1:9" ht="12.75">
      <c r="A915" s="5"/>
      <c r="B915" s="23" t="s">
        <v>27</v>
      </c>
      <c r="C915" s="24">
        <f>(4/3)^2*E915</f>
        <v>12.497777777777777</v>
      </c>
      <c r="D915" s="18">
        <v>11.37</v>
      </c>
      <c r="E915" s="18">
        <v>7.03</v>
      </c>
      <c r="F915" s="25">
        <f>-((D915-C915)/D915)</f>
        <v>0.09918889866119422</v>
      </c>
      <c r="G915" s="24">
        <f>C915-D915</f>
        <v>1.1277777777777782</v>
      </c>
      <c r="H915" s="18">
        <v>940</v>
      </c>
      <c r="I915" s="18" t="s">
        <v>179</v>
      </c>
    </row>
    <row r="916" spans="1:9" ht="12.75">
      <c r="A916" s="5"/>
      <c r="B916" s="23" t="s">
        <v>58</v>
      </c>
      <c r="C916" s="24">
        <f>(4/3)^2*E916</f>
        <v>22.097777777777775</v>
      </c>
      <c r="D916" s="18">
        <v>18.92</v>
      </c>
      <c r="E916" s="18">
        <v>12.43</v>
      </c>
      <c r="F916" s="25">
        <f>-((D916-C916)/D916)</f>
        <v>0.1679586563307491</v>
      </c>
      <c r="G916" s="24">
        <f>C916-D916</f>
        <v>3.1777777777777736</v>
      </c>
      <c r="H916" s="18">
        <v>940</v>
      </c>
      <c r="I916" s="18" t="s">
        <v>179</v>
      </c>
    </row>
    <row r="917" spans="1:9" ht="12.75">
      <c r="A917" s="5"/>
      <c r="B917" s="23" t="s">
        <v>98</v>
      </c>
      <c r="C917" s="24">
        <f>(4/3)^2*E917</f>
        <v>32.551111111111105</v>
      </c>
      <c r="D917" s="18">
        <v>27.2</v>
      </c>
      <c r="E917" s="18">
        <v>18.31</v>
      </c>
      <c r="F917" s="25">
        <f>-((D917-C917)/D917)</f>
        <v>0.19673202614379065</v>
      </c>
      <c r="G917" s="24">
        <f>C917-D917</f>
        <v>5.351111111111106</v>
      </c>
      <c r="H917" s="18">
        <v>940</v>
      </c>
      <c r="I917" s="18" t="s">
        <v>179</v>
      </c>
    </row>
    <row r="918" spans="1:9" ht="12.75">
      <c r="A918" s="5"/>
      <c r="B918" s="23" t="s">
        <v>103</v>
      </c>
      <c r="C918" s="24">
        <f>(4/3)^2*E918</f>
        <v>30.897777777777776</v>
      </c>
      <c r="D918" s="18">
        <v>26.03</v>
      </c>
      <c r="E918" s="18">
        <v>17.38</v>
      </c>
      <c r="F918" s="25">
        <f>-((D918-C918)/D918)</f>
        <v>0.18700644555427487</v>
      </c>
      <c r="G918" s="24">
        <f>C918-D918</f>
        <v>4.867777777777775</v>
      </c>
      <c r="H918" s="18">
        <v>940</v>
      </c>
      <c r="I918" s="18" t="s">
        <v>179</v>
      </c>
    </row>
    <row r="919" spans="1:9" ht="12.75">
      <c r="A919" s="5"/>
      <c r="B919" s="23" t="s">
        <v>104</v>
      </c>
      <c r="C919" s="24">
        <f>(4/3)^2*E919</f>
        <v>27.626666666666665</v>
      </c>
      <c r="D919" s="18">
        <v>23.39</v>
      </c>
      <c r="E919" s="18">
        <v>15.54</v>
      </c>
      <c r="F919" s="25">
        <f>-((D919-C919)/D919)</f>
        <v>0.1811315376941712</v>
      </c>
      <c r="G919" s="24">
        <f>C919-D919</f>
        <v>4.236666666666665</v>
      </c>
      <c r="H919" s="18">
        <v>940</v>
      </c>
      <c r="I919" s="18" t="s">
        <v>179</v>
      </c>
    </row>
    <row r="920" spans="1:9" ht="12.75">
      <c r="A920" s="5"/>
      <c r="B920" s="23" t="s">
        <v>105</v>
      </c>
      <c r="C920" s="24">
        <f>(4/3)^2*E920</f>
        <v>24.639999999999997</v>
      </c>
      <c r="D920" s="18">
        <v>21.44</v>
      </c>
      <c r="E920" s="18">
        <v>13.86</v>
      </c>
      <c r="F920" s="25">
        <f>-((D920-C920)/D920)</f>
        <v>0.14925373134328337</v>
      </c>
      <c r="G920" s="24">
        <f>C920-D920</f>
        <v>3.1999999999999957</v>
      </c>
      <c r="H920" s="18">
        <v>940</v>
      </c>
      <c r="I920" s="18" t="s">
        <v>179</v>
      </c>
    </row>
    <row r="921" spans="1:9" ht="12.75">
      <c r="A921" s="5"/>
      <c r="B921" s="23" t="s">
        <v>107</v>
      </c>
      <c r="C921" s="24">
        <f>(4/3)^2*E921</f>
        <v>34.79111111111111</v>
      </c>
      <c r="D921" s="18">
        <v>27.98</v>
      </c>
      <c r="E921" s="18">
        <v>19.57</v>
      </c>
      <c r="F921" s="25">
        <f>-((D921-C921)/D921)</f>
        <v>0.24342784528631545</v>
      </c>
      <c r="G921" s="24">
        <f>C921-D921</f>
        <v>6.8111111111111065</v>
      </c>
      <c r="H921" s="18">
        <v>940</v>
      </c>
      <c r="I921" s="18" t="s">
        <v>179</v>
      </c>
    </row>
    <row r="922" spans="1:9" ht="12.75">
      <c r="A922" s="5"/>
      <c r="B922" s="23" t="s">
        <v>83</v>
      </c>
      <c r="C922" s="24">
        <f>(4/3)^2*E922</f>
        <v>29.546666666666667</v>
      </c>
      <c r="D922" s="18">
        <v>25.27</v>
      </c>
      <c r="E922" s="18">
        <v>16.62</v>
      </c>
      <c r="F922" s="25">
        <f>-((D922-C922)/D922)</f>
        <v>0.16923888669041026</v>
      </c>
      <c r="G922" s="24">
        <f>C922-D922</f>
        <v>4.276666666666667</v>
      </c>
      <c r="H922" s="18">
        <v>940</v>
      </c>
      <c r="I922" s="18" t="s">
        <v>179</v>
      </c>
    </row>
    <row r="923" spans="1:9" ht="12.75">
      <c r="A923" s="5"/>
      <c r="B923" s="23" t="s">
        <v>84</v>
      </c>
      <c r="C923" s="24">
        <f>(4/3)^2*E923</f>
        <v>21.315555555555555</v>
      </c>
      <c r="D923" s="18">
        <v>18.79</v>
      </c>
      <c r="E923" s="18">
        <v>11.99</v>
      </c>
      <c r="F923" s="25">
        <f>-((D923-C923)/D923)</f>
        <v>0.13440955591035425</v>
      </c>
      <c r="G923" s="24">
        <f>C923-D923</f>
        <v>2.525555555555556</v>
      </c>
      <c r="H923" s="18">
        <v>940</v>
      </c>
      <c r="I923" s="18" t="s">
        <v>179</v>
      </c>
    </row>
    <row r="924" spans="1:9" ht="12.75">
      <c r="A924" s="5"/>
      <c r="B924" s="23" t="s">
        <v>71</v>
      </c>
      <c r="C924" s="24">
        <f>(4/3)^2*E924</f>
        <v>18.257777777777775</v>
      </c>
      <c r="D924" s="18">
        <v>16.36</v>
      </c>
      <c r="E924" s="18">
        <v>10.27</v>
      </c>
      <c r="F924" s="25">
        <f>-((D924-C924)/D924)</f>
        <v>0.11600108666123325</v>
      </c>
      <c r="G924" s="24">
        <f>C924-D924</f>
        <v>1.897777777777776</v>
      </c>
      <c r="H924" s="18">
        <v>940</v>
      </c>
      <c r="I924" s="18" t="s">
        <v>179</v>
      </c>
    </row>
    <row r="925" spans="1:9" ht="12.75">
      <c r="A925" s="5"/>
      <c r="B925" s="23" t="s">
        <v>50</v>
      </c>
      <c r="C925" s="24">
        <f>(4/3)^2*E925</f>
        <v>25.12</v>
      </c>
      <c r="D925" s="18">
        <v>21.78</v>
      </c>
      <c r="E925" s="18">
        <v>14.13</v>
      </c>
      <c r="F925" s="25">
        <f>-((D925-C925)/D925)</f>
        <v>0.15335169880624425</v>
      </c>
      <c r="G925" s="24">
        <f>C925-D925</f>
        <v>3.34</v>
      </c>
      <c r="H925" s="18">
        <v>940</v>
      </c>
      <c r="I925" s="18" t="s">
        <v>179</v>
      </c>
    </row>
    <row r="926" spans="1:9" ht="12.75">
      <c r="A926" s="5"/>
      <c r="B926" s="23" t="s">
        <v>52</v>
      </c>
      <c r="C926" s="24">
        <f>(4/3)^2*E926</f>
        <v>18.986666666666665</v>
      </c>
      <c r="D926" s="18">
        <v>17.28</v>
      </c>
      <c r="E926" s="18">
        <v>10.68</v>
      </c>
      <c r="F926" s="25">
        <f>-((D926-C926)/D926)</f>
        <v>0.09876543209876523</v>
      </c>
      <c r="G926" s="24">
        <f>C926-D926</f>
        <v>1.7066666666666634</v>
      </c>
      <c r="H926" s="18">
        <v>940</v>
      </c>
      <c r="I926" s="18" t="s">
        <v>179</v>
      </c>
    </row>
    <row r="927" spans="1:9" ht="12.75">
      <c r="A927" s="5"/>
      <c r="B927" s="17"/>
      <c r="C927" s="24"/>
      <c r="D927" s="18"/>
      <c r="E927" s="18" t="s">
        <v>14</v>
      </c>
      <c r="F927" s="25">
        <f>AVERAGE(F908:F926)</f>
        <v>0.16523474548557074</v>
      </c>
      <c r="G927" s="24">
        <f>AVERAGE(G908:G926)</f>
        <v>3.7225730994152038</v>
      </c>
      <c r="H927" s="18"/>
      <c r="I927" s="5"/>
    </row>
    <row r="928" spans="1:9" ht="12.75">
      <c r="A928" s="5"/>
      <c r="B928" s="17"/>
      <c r="C928" s="24"/>
      <c r="D928" s="18"/>
      <c r="E928" s="18"/>
      <c r="F928" s="25"/>
      <c r="G928" s="24"/>
      <c r="H928" s="18"/>
      <c r="I928" s="5"/>
    </row>
    <row r="929" spans="1:9" ht="12.75">
      <c r="A929" s="20" t="s">
        <v>0</v>
      </c>
      <c r="B929" s="20" t="s">
        <v>1</v>
      </c>
      <c r="C929" s="16" t="s">
        <v>188</v>
      </c>
      <c r="D929" s="16" t="s">
        <v>73</v>
      </c>
      <c r="E929" s="16" t="s">
        <v>3</v>
      </c>
      <c r="F929" s="16" t="s">
        <v>5</v>
      </c>
      <c r="G929" s="16" t="s">
        <v>6</v>
      </c>
      <c r="H929" s="16" t="s">
        <v>7</v>
      </c>
      <c r="I929" s="16" t="s">
        <v>8</v>
      </c>
    </row>
    <row r="930" spans="1:9" ht="12.75">
      <c r="A930" s="20" t="s">
        <v>189</v>
      </c>
      <c r="B930" s="15" t="s">
        <v>71</v>
      </c>
      <c r="C930" s="21">
        <f>(4/3)^1.61*E930</f>
        <v>39.06009043715709</v>
      </c>
      <c r="D930" s="16">
        <v>37.98</v>
      </c>
      <c r="E930" s="16">
        <v>24.58</v>
      </c>
      <c r="F930" s="22">
        <f>-((D930-C930)/D930)</f>
        <v>0.028438400135784535</v>
      </c>
      <c r="G930" s="21">
        <f>C930-D930</f>
        <v>1.0800904371570965</v>
      </c>
      <c r="H930" s="16">
        <v>1220</v>
      </c>
      <c r="I930" s="16" t="s">
        <v>190</v>
      </c>
    </row>
    <row r="931" spans="2:9" ht="12.75">
      <c r="B931" s="15" t="s">
        <v>51</v>
      </c>
      <c r="C931" s="21">
        <f>(4/3)^1.61*E931</f>
        <v>28.746828153302356</v>
      </c>
      <c r="D931" s="16">
        <v>28.88</v>
      </c>
      <c r="E931" s="16">
        <v>18.09</v>
      </c>
      <c r="F931" s="22">
        <f>-((D931-C931)/D931)</f>
        <v>-0.0046112135283117245</v>
      </c>
      <c r="G931" s="21">
        <f>C931-D931</f>
        <v>-0.1331718466976426</v>
      </c>
      <c r="H931" s="16">
        <v>1220</v>
      </c>
      <c r="I931" s="16" t="s">
        <v>190</v>
      </c>
    </row>
    <row r="932" spans="2:9" ht="12.75">
      <c r="B932" s="15" t="s">
        <v>67</v>
      </c>
      <c r="C932" s="21">
        <f>(4/3)^1.61*E932</f>
        <v>25.47328111096942</v>
      </c>
      <c r="D932" s="16">
        <v>25.67</v>
      </c>
      <c r="E932" s="16">
        <v>16.03</v>
      </c>
      <c r="F932" s="22">
        <f>-((D932-C932)/D932)</f>
        <v>-0.007663377056119257</v>
      </c>
      <c r="G932" s="21">
        <f>C932-D932</f>
        <v>-0.19671888903058132</v>
      </c>
      <c r="H932" s="16">
        <v>1220</v>
      </c>
      <c r="I932" s="16" t="s">
        <v>190</v>
      </c>
    </row>
    <row r="933" spans="2:9" ht="12.75">
      <c r="B933" s="15" t="s">
        <v>42</v>
      </c>
      <c r="C933" s="21">
        <f>(4/3)^1.61*E933</f>
        <v>24.535711812437167</v>
      </c>
      <c r="D933" s="16">
        <v>24.68</v>
      </c>
      <c r="E933" s="16">
        <v>15.44</v>
      </c>
      <c r="F933" s="22">
        <f>-((D933-C933)/D933)</f>
        <v>-0.0058463609223189765</v>
      </c>
      <c r="G933" s="21">
        <f>C933-D933</f>
        <v>-0.14428818756283235</v>
      </c>
      <c r="H933" s="16">
        <v>1220</v>
      </c>
      <c r="I933" s="16" t="s">
        <v>190</v>
      </c>
    </row>
    <row r="934" spans="2:9" ht="12.75">
      <c r="B934" s="15"/>
      <c r="C934" s="21"/>
      <c r="D934" s="16"/>
      <c r="E934" s="16" t="s">
        <v>14</v>
      </c>
      <c r="F934" s="22">
        <f>AVERAGE(F930:F933)</f>
        <v>0.0025793621572586444</v>
      </c>
      <c r="G934" s="21">
        <f>AVERAGE(G930:G933)</f>
        <v>0.15147787846651006</v>
      </c>
      <c r="H934" s="16"/>
      <c r="I934" s="16"/>
    </row>
    <row r="935" spans="3:9" ht="12.75">
      <c r="C935" s="21"/>
      <c r="D935" s="16"/>
      <c r="E935" s="16"/>
      <c r="F935" s="22"/>
      <c r="G935" s="21"/>
      <c r="H935" s="16"/>
      <c r="I935" s="16"/>
    </row>
    <row r="936" spans="1:9" ht="12.75">
      <c r="A936" s="23" t="s">
        <v>0</v>
      </c>
      <c r="B936" s="23" t="s">
        <v>1</v>
      </c>
      <c r="C936" s="18" t="s">
        <v>74</v>
      </c>
      <c r="D936" s="18" t="s">
        <v>73</v>
      </c>
      <c r="E936" s="18" t="s">
        <v>3</v>
      </c>
      <c r="F936" s="18" t="s">
        <v>5</v>
      </c>
      <c r="G936" s="18" t="s">
        <v>6</v>
      </c>
      <c r="H936" s="18" t="s">
        <v>7</v>
      </c>
      <c r="I936" s="18" t="s">
        <v>8</v>
      </c>
    </row>
    <row r="937" spans="1:9" ht="12.75">
      <c r="A937" s="23" t="s">
        <v>189</v>
      </c>
      <c r="B937" s="17" t="s">
        <v>71</v>
      </c>
      <c r="C937" s="24">
        <f>(4/3)^2*E937</f>
        <v>43.69777777777777</v>
      </c>
      <c r="D937" s="18">
        <v>37.98</v>
      </c>
      <c r="E937" s="18">
        <v>24.58</v>
      </c>
      <c r="F937" s="25">
        <f>-((D937-C937)/D937)</f>
        <v>0.15054707155813</v>
      </c>
      <c r="G937" s="24">
        <f>C937-D937</f>
        <v>5.717777777777776</v>
      </c>
      <c r="H937" s="18">
        <v>1220</v>
      </c>
      <c r="I937" s="18" t="s">
        <v>190</v>
      </c>
    </row>
    <row r="938" spans="1:9" ht="12.75">
      <c r="A938" s="5"/>
      <c r="B938" s="17" t="s">
        <v>51</v>
      </c>
      <c r="C938" s="24">
        <f>(4/3)^2*E938</f>
        <v>32.16</v>
      </c>
      <c r="D938" s="18">
        <v>28.88</v>
      </c>
      <c r="E938" s="18">
        <v>18.09</v>
      </c>
      <c r="F938" s="25">
        <f>-((D938-C938)/D938)</f>
        <v>0.11357340720221598</v>
      </c>
      <c r="G938" s="24">
        <f>C938-D938</f>
        <v>3.2799999999999976</v>
      </c>
      <c r="H938" s="18">
        <v>1220</v>
      </c>
      <c r="I938" s="18" t="s">
        <v>190</v>
      </c>
    </row>
    <row r="939" spans="1:9" ht="12.75">
      <c r="A939" s="5"/>
      <c r="B939" s="17" t="s">
        <v>67</v>
      </c>
      <c r="C939" s="24">
        <f>(4/3)^2*E939</f>
        <v>28.497777777777777</v>
      </c>
      <c r="D939" s="18">
        <v>25.67</v>
      </c>
      <c r="E939" s="18">
        <v>16.03</v>
      </c>
      <c r="F939" s="25">
        <f>-((D939-C939)/D939)</f>
        <v>0.11015885382850703</v>
      </c>
      <c r="G939" s="24">
        <f>C939-D939</f>
        <v>2.8277777777777757</v>
      </c>
      <c r="H939" s="18">
        <v>1220</v>
      </c>
      <c r="I939" s="18" t="s">
        <v>190</v>
      </c>
    </row>
    <row r="940" spans="1:9" ht="12.75">
      <c r="A940" s="5"/>
      <c r="B940" s="17" t="s">
        <v>42</v>
      </c>
      <c r="C940" s="24">
        <f>(4/3)^2*E940</f>
        <v>27.448888888888888</v>
      </c>
      <c r="D940" s="18">
        <v>24.68</v>
      </c>
      <c r="E940" s="18">
        <v>15.44</v>
      </c>
      <c r="F940" s="25">
        <f>-((D940-C940)/D940)</f>
        <v>0.11219160813974426</v>
      </c>
      <c r="G940" s="24">
        <f>C940-D940</f>
        <v>2.7688888888888883</v>
      </c>
      <c r="H940" s="18">
        <v>1220</v>
      </c>
      <c r="I940" s="18" t="s">
        <v>190</v>
      </c>
    </row>
    <row r="941" spans="1:9" ht="12.75">
      <c r="A941" s="5"/>
      <c r="B941" s="17"/>
      <c r="C941" s="24"/>
      <c r="D941" s="18"/>
      <c r="E941" s="18" t="s">
        <v>14</v>
      </c>
      <c r="F941" s="25">
        <f>AVERAGE(F937:F940)</f>
        <v>0.12161773518214933</v>
      </c>
      <c r="G941" s="24">
        <f>AVERAGE(G937:G940)</f>
        <v>3.6486111111111095</v>
      </c>
      <c r="H941" s="18"/>
      <c r="I941" s="18"/>
    </row>
    <row r="942" spans="1:9" ht="12.75">
      <c r="A942" s="5"/>
      <c r="B942" s="17"/>
      <c r="C942" s="24"/>
      <c r="D942" s="18"/>
      <c r="E942" s="18"/>
      <c r="F942" s="25"/>
      <c r="G942" s="24"/>
      <c r="H942" s="18"/>
      <c r="I942" s="5"/>
    </row>
    <row r="943" spans="1:9" ht="12.75">
      <c r="A943" s="20" t="s">
        <v>0</v>
      </c>
      <c r="B943" s="20" t="s">
        <v>1</v>
      </c>
      <c r="C943" s="16" t="s">
        <v>181</v>
      </c>
      <c r="D943" s="16" t="s">
        <v>73</v>
      </c>
      <c r="E943" s="16" t="s">
        <v>3</v>
      </c>
      <c r="F943" s="16" t="s">
        <v>5</v>
      </c>
      <c r="G943" s="16" t="s">
        <v>6</v>
      </c>
      <c r="H943" s="16" t="s">
        <v>7</v>
      </c>
      <c r="I943" s="16" t="s">
        <v>8</v>
      </c>
    </row>
    <row r="944" spans="1:9" ht="12.75">
      <c r="A944" s="20" t="s">
        <v>191</v>
      </c>
      <c r="B944" s="15" t="s">
        <v>71</v>
      </c>
      <c r="C944" s="21">
        <f>(4/3)^1.65*E944</f>
        <v>27.777467846043525</v>
      </c>
      <c r="D944" s="16">
        <v>27.28</v>
      </c>
      <c r="E944" s="16">
        <v>17.28</v>
      </c>
      <c r="F944" s="22">
        <f>-((D944-C944)/D944)</f>
        <v>0.018235624854967873</v>
      </c>
      <c r="G944" s="21">
        <f>C944-D944</f>
        <v>0.49746784604352356</v>
      </c>
      <c r="H944" s="16">
        <v>1090</v>
      </c>
      <c r="I944" s="16" t="s">
        <v>190</v>
      </c>
    </row>
    <row r="945" spans="1:9" ht="12.75">
      <c r="A945" s="20"/>
      <c r="B945" s="15" t="s">
        <v>52</v>
      </c>
      <c r="C945" s="21">
        <f>(4/3)^1.65*E945</f>
        <v>29.417110045289146</v>
      </c>
      <c r="D945" s="16">
        <v>29.61</v>
      </c>
      <c r="E945" s="16">
        <v>18.3</v>
      </c>
      <c r="F945" s="22">
        <f>-((D945-C945)/D945)</f>
        <v>-0.00651435172951211</v>
      </c>
      <c r="G945" s="21">
        <f>C945-D945</f>
        <v>-0.19288995471085357</v>
      </c>
      <c r="H945" s="16">
        <v>1090</v>
      </c>
      <c r="I945" s="16" t="s">
        <v>190</v>
      </c>
    </row>
    <row r="946" spans="2:9" ht="12.75">
      <c r="B946" s="15" t="s">
        <v>51</v>
      </c>
      <c r="C946" s="21">
        <f>(4/3)^1.65*E946</f>
        <v>20.109729326041926</v>
      </c>
      <c r="D946" s="16">
        <v>20.21</v>
      </c>
      <c r="E946" s="16">
        <v>12.51</v>
      </c>
      <c r="F946" s="22">
        <f>-((D946-C946)/D946)</f>
        <v>-0.004961438592680614</v>
      </c>
      <c r="G946" s="21">
        <f>C946-D946</f>
        <v>-0.10027067395807521</v>
      </c>
      <c r="H946" s="16">
        <v>1090</v>
      </c>
      <c r="I946" s="16" t="s">
        <v>190</v>
      </c>
    </row>
    <row r="947" spans="2:9" ht="12.75">
      <c r="B947" s="15" t="s">
        <v>67</v>
      </c>
      <c r="C947" s="21">
        <f>(4/3)^1.65*E947</f>
        <v>18.068214038745904</v>
      </c>
      <c r="D947" s="16">
        <v>18.06</v>
      </c>
      <c r="E947" s="16">
        <v>11.24</v>
      </c>
      <c r="F947" s="22">
        <f>-((D947-C947)/D947)</f>
        <v>0.0004548194211464492</v>
      </c>
      <c r="G947" s="21">
        <f>C947-D947</f>
        <v>0.008214038745904872</v>
      </c>
      <c r="H947" s="16">
        <v>1090</v>
      </c>
      <c r="I947" s="16" t="s">
        <v>190</v>
      </c>
    </row>
    <row r="948" spans="2:9" ht="12.75">
      <c r="B948" s="15"/>
      <c r="C948" s="21"/>
      <c r="D948" s="16"/>
      <c r="E948" s="16" t="s">
        <v>14</v>
      </c>
      <c r="F948" s="22">
        <f>AVERAGE(F944:F947)</f>
        <v>0.0018036634884803998</v>
      </c>
      <c r="G948" s="21">
        <f>AVERAGE(G944:G947)</f>
        <v>0.053130314030124914</v>
      </c>
      <c r="H948" s="16"/>
      <c r="I948" s="16"/>
    </row>
    <row r="949" spans="1:9" ht="12.75">
      <c r="A949" s="5"/>
      <c r="B949" s="17"/>
      <c r="C949" s="24"/>
      <c r="D949" s="18"/>
      <c r="E949" s="18"/>
      <c r="F949" s="25"/>
      <c r="G949" s="24"/>
      <c r="H949" s="18"/>
      <c r="I949" s="5"/>
    </row>
    <row r="950" spans="1:9" ht="12.75">
      <c r="A950" s="23" t="s">
        <v>0</v>
      </c>
      <c r="B950" s="23" t="s">
        <v>1</v>
      </c>
      <c r="C950" s="18" t="s">
        <v>74</v>
      </c>
      <c r="D950" s="18" t="s">
        <v>73</v>
      </c>
      <c r="E950" s="18" t="s">
        <v>3</v>
      </c>
      <c r="F950" s="18" t="s">
        <v>5</v>
      </c>
      <c r="G950" s="18" t="s">
        <v>6</v>
      </c>
      <c r="H950" s="18" t="s">
        <v>7</v>
      </c>
      <c r="I950" s="18" t="s">
        <v>8</v>
      </c>
    </row>
    <row r="951" spans="1:9" ht="12.75">
      <c r="A951" s="23" t="s">
        <v>191</v>
      </c>
      <c r="B951" s="17" t="s">
        <v>71</v>
      </c>
      <c r="C951" s="24">
        <f>(4/3)^2*E951</f>
        <v>30.72</v>
      </c>
      <c r="D951" s="18">
        <v>27.28</v>
      </c>
      <c r="E951" s="18">
        <v>17.28</v>
      </c>
      <c r="F951" s="25">
        <f>-((D951-C951)/D951)</f>
        <v>0.12609970674486795</v>
      </c>
      <c r="G951" s="24">
        <f>C951-D951</f>
        <v>3.4399999999999977</v>
      </c>
      <c r="H951" s="18">
        <v>1090</v>
      </c>
      <c r="I951" s="18" t="s">
        <v>190</v>
      </c>
    </row>
    <row r="952" spans="1:9" ht="12.75">
      <c r="A952" s="23"/>
      <c r="B952" s="17" t="s">
        <v>52</v>
      </c>
      <c r="C952" s="24">
        <f>(4/3)^2*E952</f>
        <v>32.53333333333333</v>
      </c>
      <c r="D952" s="18">
        <v>29.61</v>
      </c>
      <c r="E952" s="18">
        <v>18.3</v>
      </c>
      <c r="F952" s="25">
        <f>-((D952-C952)/D952)</f>
        <v>0.09872790723854549</v>
      </c>
      <c r="G952" s="24">
        <f>C952-D952</f>
        <v>2.923333333333332</v>
      </c>
      <c r="H952" s="18">
        <v>1090</v>
      </c>
      <c r="I952" s="18" t="s">
        <v>190</v>
      </c>
    </row>
    <row r="953" spans="1:9" ht="12.75">
      <c r="A953" s="5"/>
      <c r="B953" s="17" t="s">
        <v>51</v>
      </c>
      <c r="C953" s="24">
        <f>(4/3)^2*E953</f>
        <v>22.24</v>
      </c>
      <c r="D953" s="18">
        <v>20.21</v>
      </c>
      <c r="E953" s="18">
        <v>12.51</v>
      </c>
      <c r="F953" s="25">
        <f>-((D953-C953)/D953)</f>
        <v>0.10044532409698156</v>
      </c>
      <c r="G953" s="24">
        <f>C953-D953</f>
        <v>2.0299999999999976</v>
      </c>
      <c r="H953" s="18">
        <v>1090</v>
      </c>
      <c r="I953" s="18" t="s">
        <v>190</v>
      </c>
    </row>
    <row r="954" spans="1:9" ht="12.75">
      <c r="A954" s="5"/>
      <c r="B954" s="17" t="s">
        <v>67</v>
      </c>
      <c r="C954" s="24">
        <f>(4/3)^2*E954</f>
        <v>19.982222222222223</v>
      </c>
      <c r="D954" s="18">
        <v>18.06</v>
      </c>
      <c r="E954" s="18">
        <v>11.24</v>
      </c>
      <c r="F954" s="25">
        <f>-((D954-C954)/D954)</f>
        <v>0.10643533899347865</v>
      </c>
      <c r="G954" s="24">
        <f>C954-D954</f>
        <v>1.9222222222222243</v>
      </c>
      <c r="H954" s="18">
        <v>1090</v>
      </c>
      <c r="I954" s="18" t="s">
        <v>190</v>
      </c>
    </row>
    <row r="955" spans="1:9" ht="12.75">
      <c r="A955" s="5"/>
      <c r="B955" s="17"/>
      <c r="C955" s="24"/>
      <c r="D955" s="18"/>
      <c r="E955" s="18" t="s">
        <v>14</v>
      </c>
      <c r="F955" s="25">
        <f>AVERAGE(F951:F954)</f>
        <v>0.1079270692684684</v>
      </c>
      <c r="G955" s="24">
        <f>AVERAGE(G951:G954)</f>
        <v>2.578888888888888</v>
      </c>
      <c r="H955" s="18"/>
      <c r="I955" s="18"/>
    </row>
    <row r="956" spans="1:9" ht="12.75">
      <c r="A956" s="5"/>
      <c r="B956" s="17"/>
      <c r="C956" s="24"/>
      <c r="D956" s="18"/>
      <c r="E956" s="18"/>
      <c r="F956" s="25"/>
      <c r="G956" s="24"/>
      <c r="H956" s="18"/>
      <c r="I956" s="18"/>
    </row>
    <row r="957" spans="1:9" ht="12.75">
      <c r="A957" s="49" t="s">
        <v>0</v>
      </c>
      <c r="B957" s="49" t="s">
        <v>1</v>
      </c>
      <c r="C957" s="50" t="s">
        <v>192</v>
      </c>
      <c r="D957" s="50" t="s">
        <v>193</v>
      </c>
      <c r="E957" s="50" t="s">
        <v>194</v>
      </c>
      <c r="F957" s="50" t="s">
        <v>5</v>
      </c>
      <c r="G957" s="50" t="s">
        <v>6</v>
      </c>
      <c r="H957" s="50" t="s">
        <v>7</v>
      </c>
      <c r="I957" s="50" t="s">
        <v>8</v>
      </c>
    </row>
    <row r="958" spans="1:9" ht="12.75">
      <c r="A958" s="49" t="s">
        <v>195</v>
      </c>
      <c r="B958" s="51" t="s">
        <v>196</v>
      </c>
      <c r="C958" s="52">
        <f>(7/6)^1.25*E958</f>
        <v>26.796357344775203</v>
      </c>
      <c r="D958" s="50">
        <v>27</v>
      </c>
      <c r="E958" s="50">
        <v>22.1</v>
      </c>
      <c r="F958" s="53">
        <f>-((D958-C958)/D958)</f>
        <v>-0.007542320563881385</v>
      </c>
      <c r="G958" s="52">
        <f>C958-D958</f>
        <v>-0.2036426552247974</v>
      </c>
      <c r="H958" s="50">
        <v>1640</v>
      </c>
      <c r="I958" s="50" t="s">
        <v>197</v>
      </c>
    </row>
    <row r="959" spans="1:9" ht="12.75">
      <c r="A959" s="49" t="s">
        <v>198</v>
      </c>
      <c r="B959" s="51" t="s">
        <v>199</v>
      </c>
      <c r="C959" s="52">
        <f>(7/6)^1.25*E959</f>
        <v>32.01012823086268</v>
      </c>
      <c r="D959" s="50">
        <v>31.8</v>
      </c>
      <c r="E959" s="50">
        <v>26.4</v>
      </c>
      <c r="F959" s="53">
        <f>-((D959-C959)/D959)</f>
        <v>0.006607806001971158</v>
      </c>
      <c r="G959" s="52">
        <f>C959-D959</f>
        <v>0.21012823086268284</v>
      </c>
      <c r="H959" s="50">
        <v>1640</v>
      </c>
      <c r="I959" s="50" t="s">
        <v>197</v>
      </c>
    </row>
    <row r="960" spans="1:9" ht="12.75">
      <c r="A960" s="5"/>
      <c r="B960" s="51" t="s">
        <v>103</v>
      </c>
      <c r="C960" s="52">
        <f>(7/6)^1.25*E960</f>
        <v>36.132644745443486</v>
      </c>
      <c r="D960" s="50">
        <v>35.6</v>
      </c>
      <c r="E960" s="50">
        <v>29.8</v>
      </c>
      <c r="F960" s="53">
        <f>-((D960-C960)/D960)</f>
        <v>0.014961931051783263</v>
      </c>
      <c r="G960" s="52">
        <f>C960-D960</f>
        <v>0.5326447454434842</v>
      </c>
      <c r="H960" s="50">
        <v>1640</v>
      </c>
      <c r="I960" s="50" t="s">
        <v>197</v>
      </c>
    </row>
    <row r="961" spans="1:9" ht="12.75">
      <c r="A961" s="5"/>
      <c r="B961" s="51" t="s">
        <v>200</v>
      </c>
      <c r="C961" s="52">
        <f>(7/6)^1.25*E961</f>
        <v>39.04265640279464</v>
      </c>
      <c r="D961" s="50">
        <v>38.3</v>
      </c>
      <c r="E961" s="50">
        <v>32.2</v>
      </c>
      <c r="F961" s="53">
        <f>-((D961-C961)/D961)</f>
        <v>0.019390506600382353</v>
      </c>
      <c r="G961" s="52">
        <f>C961-D961</f>
        <v>0.7426564027946441</v>
      </c>
      <c r="H961" s="50">
        <v>1640</v>
      </c>
      <c r="I961" s="50" t="s">
        <v>197</v>
      </c>
    </row>
    <row r="962" spans="1:9" ht="12.75">
      <c r="A962" s="5"/>
      <c r="B962" s="51" t="s">
        <v>201</v>
      </c>
      <c r="C962" s="52">
        <f>(7/6)^1.25*E962</f>
        <v>41.34641563153097</v>
      </c>
      <c r="D962" s="50">
        <v>40.4</v>
      </c>
      <c r="E962" s="50">
        <v>34.1</v>
      </c>
      <c r="F962" s="53">
        <f>-((D962-C962)/D962)</f>
        <v>0.023426129493340792</v>
      </c>
      <c r="G962" s="52">
        <f>C962-D962</f>
        <v>0.946415631530968</v>
      </c>
      <c r="H962" s="50">
        <v>1640</v>
      </c>
      <c r="I962" s="50" t="s">
        <v>197</v>
      </c>
    </row>
    <row r="963" spans="1:9" ht="12.75">
      <c r="A963" s="5"/>
      <c r="B963" s="51" t="s">
        <v>202</v>
      </c>
      <c r="C963" s="52">
        <f>(7/6)^1.25*E963</f>
        <v>44.01392631743619</v>
      </c>
      <c r="D963" s="50">
        <v>42.8</v>
      </c>
      <c r="E963" s="50">
        <v>36.3</v>
      </c>
      <c r="F963" s="53">
        <f>-((D963-C963)/D963)</f>
        <v>0.02836276442607921</v>
      </c>
      <c r="G963" s="52">
        <f>C963-D963</f>
        <v>1.21392631743619</v>
      </c>
      <c r="H963" s="50">
        <v>1640</v>
      </c>
      <c r="I963" s="50" t="s">
        <v>197</v>
      </c>
    </row>
    <row r="964" spans="1:9" ht="12.75">
      <c r="A964" s="5"/>
      <c r="B964" s="17"/>
      <c r="C964" s="24"/>
      <c r="D964" s="18"/>
      <c r="E964" s="50" t="s">
        <v>14</v>
      </c>
      <c r="F964" s="53">
        <f>AVERAGE(F958:F963)</f>
        <v>0.014201136168279232</v>
      </c>
      <c r="G964" s="52">
        <f>AVERAGE(G958:G963)</f>
        <v>0.5736881121405286</v>
      </c>
      <c r="H964" s="18"/>
      <c r="I964" s="18"/>
    </row>
    <row r="965" spans="1:9" ht="12.75">
      <c r="A965" s="5"/>
      <c r="B965" s="17"/>
      <c r="C965" s="24"/>
      <c r="D965" s="18"/>
      <c r="E965" s="50"/>
      <c r="F965" s="53"/>
      <c r="G965" s="52"/>
      <c r="H965" s="18"/>
      <c r="I965" s="18"/>
    </row>
    <row r="966" spans="1:9" ht="12.75">
      <c r="A966" s="54" t="s">
        <v>0</v>
      </c>
      <c r="B966" s="54" t="s">
        <v>1</v>
      </c>
      <c r="C966" s="55" t="s">
        <v>203</v>
      </c>
      <c r="D966" s="55" t="s">
        <v>193</v>
      </c>
      <c r="E966" s="55" t="s">
        <v>194</v>
      </c>
      <c r="F966" s="55" t="s">
        <v>5</v>
      </c>
      <c r="G966" s="55" t="s">
        <v>6</v>
      </c>
      <c r="H966" s="55" t="s">
        <v>7</v>
      </c>
      <c r="I966" s="55" t="s">
        <v>8</v>
      </c>
    </row>
    <row r="967" spans="1:9" ht="12.75">
      <c r="A967" s="54" t="s">
        <v>195</v>
      </c>
      <c r="B967" s="56" t="s">
        <v>196</v>
      </c>
      <c r="C967" s="57">
        <f>(7/6)^2*E967</f>
        <v>30.080555555555563</v>
      </c>
      <c r="D967" s="55">
        <v>27</v>
      </c>
      <c r="E967" s="55">
        <v>22.1</v>
      </c>
      <c r="F967" s="58">
        <f>-((D967-C967)/D967)</f>
        <v>0.11409465020576158</v>
      </c>
      <c r="G967" s="57">
        <f>C967-D967</f>
        <v>3.080555555555563</v>
      </c>
      <c r="H967" s="55">
        <v>1640</v>
      </c>
      <c r="I967" s="55" t="s">
        <v>197</v>
      </c>
    </row>
    <row r="968" spans="1:9" ht="12.75">
      <c r="A968" s="54" t="s">
        <v>198</v>
      </c>
      <c r="B968" s="56" t="s">
        <v>199</v>
      </c>
      <c r="C968" s="57">
        <f>(7/6)^2*E968</f>
        <v>35.93333333333334</v>
      </c>
      <c r="D968" s="55">
        <v>31.8</v>
      </c>
      <c r="E968" s="55">
        <v>26.4</v>
      </c>
      <c r="F968" s="58">
        <f>-((D968-C968)/D968)</f>
        <v>0.1299790356394131</v>
      </c>
      <c r="G968" s="57">
        <f>C968-D968</f>
        <v>4.133333333333336</v>
      </c>
      <c r="H968" s="55">
        <v>1640</v>
      </c>
      <c r="I968" s="55" t="s">
        <v>197</v>
      </c>
    </row>
    <row r="969" spans="1:9" ht="12.75">
      <c r="A969" s="5"/>
      <c r="B969" s="56" t="s">
        <v>103</v>
      </c>
      <c r="C969" s="57">
        <f>(7/6)^2*E969</f>
        <v>40.56111111111112</v>
      </c>
      <c r="D969" s="55">
        <v>35.6</v>
      </c>
      <c r="E969" s="55">
        <v>29.8</v>
      </c>
      <c r="F969" s="58">
        <f>-((D969-C969)/D969)</f>
        <v>0.1393570536828965</v>
      </c>
      <c r="G969" s="57">
        <f>C969-D969</f>
        <v>4.961111111111116</v>
      </c>
      <c r="H969" s="55">
        <v>1640</v>
      </c>
      <c r="I969" s="55" t="s">
        <v>197</v>
      </c>
    </row>
    <row r="970" spans="1:9" ht="12.75">
      <c r="A970" s="5"/>
      <c r="B970" s="56" t="s">
        <v>200</v>
      </c>
      <c r="C970" s="57">
        <f>(7/6)^2*E970</f>
        <v>43.82777777777779</v>
      </c>
      <c r="D970" s="55">
        <v>38.3</v>
      </c>
      <c r="E970" s="55">
        <v>32.2</v>
      </c>
      <c r="F970" s="58">
        <f>-((D970-C970)/D970)</f>
        <v>0.14432840150855858</v>
      </c>
      <c r="G970" s="57">
        <f>C970-D970</f>
        <v>5.527777777777793</v>
      </c>
      <c r="H970" s="55">
        <v>1640</v>
      </c>
      <c r="I970" s="55" t="s">
        <v>197</v>
      </c>
    </row>
    <row r="971" spans="1:9" ht="12.75">
      <c r="A971" s="5"/>
      <c r="B971" s="56" t="s">
        <v>201</v>
      </c>
      <c r="C971" s="57">
        <f>(7/6)^2*E971</f>
        <v>46.4138888888889</v>
      </c>
      <c r="D971" s="55">
        <v>40.4</v>
      </c>
      <c r="E971" s="55">
        <v>34.1</v>
      </c>
      <c r="F971" s="58">
        <f>-((D971-C971)/D971)</f>
        <v>0.14885863586358664</v>
      </c>
      <c r="G971" s="57">
        <f>C971-D971</f>
        <v>6.0138888888889</v>
      </c>
      <c r="H971" s="55">
        <v>1640</v>
      </c>
      <c r="I971" s="55" t="s">
        <v>197</v>
      </c>
    </row>
    <row r="972" spans="1:9" ht="12.75">
      <c r="A972" s="5"/>
      <c r="B972" s="56" t="s">
        <v>202</v>
      </c>
      <c r="C972" s="57">
        <f>(7/6)^2*E972</f>
        <v>49.40833333333334</v>
      </c>
      <c r="D972" s="55">
        <v>42.8</v>
      </c>
      <c r="E972" s="55">
        <v>36.3</v>
      </c>
      <c r="F972" s="58">
        <f>-((D972-C972)/D972)</f>
        <v>0.15440031152647996</v>
      </c>
      <c r="G972" s="57">
        <f>C972-D972</f>
        <v>6.608333333333341</v>
      </c>
      <c r="H972" s="55">
        <v>1640</v>
      </c>
      <c r="I972" s="55" t="s">
        <v>197</v>
      </c>
    </row>
    <row r="973" spans="1:9" ht="12.75">
      <c r="A973" s="5"/>
      <c r="B973" s="17"/>
      <c r="C973" s="24"/>
      <c r="D973" s="18"/>
      <c r="E973" s="55" t="s">
        <v>14</v>
      </c>
      <c r="F973" s="58">
        <f>AVERAGE(F967:F972)</f>
        <v>0.13850301473778273</v>
      </c>
      <c r="G973" s="57">
        <f>AVERAGE(G967:G972)</f>
        <v>5.054166666666675</v>
      </c>
      <c r="H973" s="18"/>
      <c r="I973" s="18"/>
    </row>
    <row r="974" spans="1:9" ht="12.75">
      <c r="A974" s="5"/>
      <c r="B974" s="17"/>
      <c r="C974" s="24"/>
      <c r="D974" s="18"/>
      <c r="E974" s="55"/>
      <c r="F974" s="58"/>
      <c r="G974" s="57"/>
      <c r="H974" s="18"/>
      <c r="I974" s="18"/>
    </row>
    <row r="975" spans="1:9" ht="12.75">
      <c r="A975" s="49" t="s">
        <v>0</v>
      </c>
      <c r="B975" s="49" t="s">
        <v>1</v>
      </c>
      <c r="C975" s="50" t="s">
        <v>204</v>
      </c>
      <c r="D975" s="50" t="s">
        <v>193</v>
      </c>
      <c r="E975" s="50" t="s">
        <v>194</v>
      </c>
      <c r="F975" s="50" t="s">
        <v>5</v>
      </c>
      <c r="G975" s="50" t="s">
        <v>6</v>
      </c>
      <c r="H975" s="50" t="s">
        <v>7</v>
      </c>
      <c r="I975" s="50" t="s">
        <v>8</v>
      </c>
    </row>
    <row r="976" spans="1:9" ht="12.75">
      <c r="A976" s="49" t="s">
        <v>195</v>
      </c>
      <c r="B976" s="51" t="s">
        <v>196</v>
      </c>
      <c r="C976" s="52">
        <f>(7.7/6.7)^1.3*E976</f>
        <v>26.48091412276031</v>
      </c>
      <c r="D976" s="50">
        <v>27</v>
      </c>
      <c r="E976" s="50">
        <v>22.1</v>
      </c>
      <c r="F976" s="53">
        <f>-((D976-C976)/D976)</f>
        <v>-0.019225402860729237</v>
      </c>
      <c r="G976" s="52">
        <f>C976-D976</f>
        <v>-0.5190858772396894</v>
      </c>
      <c r="H976" s="50">
        <v>1640</v>
      </c>
      <c r="I976" s="50" t="s">
        <v>197</v>
      </c>
    </row>
    <row r="977" spans="1:9" ht="12.75">
      <c r="A977" s="49" t="s">
        <v>198</v>
      </c>
      <c r="B977" s="51" t="s">
        <v>199</v>
      </c>
      <c r="C977" s="52">
        <f>(7.7/6.7)^1.3*E977</f>
        <v>31.633309178320005</v>
      </c>
      <c r="D977" s="50">
        <v>31.8</v>
      </c>
      <c r="E977" s="50">
        <v>26.4</v>
      </c>
      <c r="F977" s="53">
        <f>-((D977-C977)/D977)</f>
        <v>-0.005241849738364656</v>
      </c>
      <c r="G977" s="52">
        <f>C977-D977</f>
        <v>-0.16669082167999605</v>
      </c>
      <c r="H977" s="50">
        <v>1640</v>
      </c>
      <c r="I977" s="50" t="s">
        <v>197</v>
      </c>
    </row>
    <row r="978" spans="1:9" ht="12.75">
      <c r="A978" s="49" t="s">
        <v>164</v>
      </c>
      <c r="B978" s="51" t="s">
        <v>103</v>
      </c>
      <c r="C978" s="52">
        <f>(7.7/6.7)^1.3*E978</f>
        <v>35.70729596643698</v>
      </c>
      <c r="D978" s="50">
        <v>35.6</v>
      </c>
      <c r="E978" s="50">
        <v>29.8</v>
      </c>
      <c r="F978" s="53">
        <f>-((D978-C978)/D978)</f>
        <v>0.0030139316414881747</v>
      </c>
      <c r="G978" s="52">
        <f>C978-D978</f>
        <v>0.10729596643697903</v>
      </c>
      <c r="H978" s="50">
        <v>1640</v>
      </c>
      <c r="I978" s="50" t="s">
        <v>197</v>
      </c>
    </row>
    <row r="979" spans="1:9" ht="12.75">
      <c r="A979" s="5"/>
      <c r="B979" s="51" t="s">
        <v>200</v>
      </c>
      <c r="C979" s="52">
        <f>(7.7/6.7)^1.3*E979</f>
        <v>38.58305134628425</v>
      </c>
      <c r="D979" s="50">
        <v>38.3</v>
      </c>
      <c r="E979" s="50">
        <v>32.2</v>
      </c>
      <c r="F979" s="53">
        <f>-((D979-C979)/D979)</f>
        <v>0.007390374576612356</v>
      </c>
      <c r="G979" s="52">
        <f>C979-D979</f>
        <v>0.2830513462842532</v>
      </c>
      <c r="H979" s="50">
        <v>1640</v>
      </c>
      <c r="I979" s="50" t="s">
        <v>197</v>
      </c>
    </row>
    <row r="980" spans="1:9" ht="12.75">
      <c r="A980" s="5"/>
      <c r="B980" s="51" t="s">
        <v>201</v>
      </c>
      <c r="C980" s="52">
        <f>(7.7/6.7)^1.3*E980</f>
        <v>40.859691021996674</v>
      </c>
      <c r="D980" s="50">
        <v>40.4</v>
      </c>
      <c r="E980" s="50">
        <v>34.1</v>
      </c>
      <c r="F980" s="53">
        <f>-((D980-C980)/D980)</f>
        <v>0.011378490643482076</v>
      </c>
      <c r="G980" s="52">
        <f>C980-D980</f>
        <v>0.4596910219966759</v>
      </c>
      <c r="H980" s="50">
        <v>1640</v>
      </c>
      <c r="I980" s="50" t="s">
        <v>197</v>
      </c>
    </row>
    <row r="981" spans="1:9" ht="12.75">
      <c r="A981" s="5"/>
      <c r="B981" s="51" t="s">
        <v>202</v>
      </c>
      <c r="C981" s="52">
        <f>(7.7/6.7)^1.3*E981</f>
        <v>43.495800120190005</v>
      </c>
      <c r="D981" s="50">
        <v>42.8</v>
      </c>
      <c r="E981" s="50">
        <v>36.3</v>
      </c>
      <c r="F981" s="53">
        <f>-((D981-C981)/D981)</f>
        <v>0.01625701215397214</v>
      </c>
      <c r="G981" s="52">
        <f>C981-D981</f>
        <v>0.6958001201900075</v>
      </c>
      <c r="H981" s="50">
        <v>1640</v>
      </c>
      <c r="I981" s="50" t="s">
        <v>197</v>
      </c>
    </row>
    <row r="982" spans="1:9" ht="12.75">
      <c r="A982" s="5"/>
      <c r="B982" s="17"/>
      <c r="C982" s="24"/>
      <c r="D982" s="18"/>
      <c r="E982" s="50" t="s">
        <v>14</v>
      </c>
      <c r="F982" s="53">
        <f>AVERAGE(F976:F981)</f>
        <v>0.002262092736076809</v>
      </c>
      <c r="G982" s="52">
        <f>AVERAGE(G976:G981)</f>
        <v>0.14334362599803838</v>
      </c>
      <c r="H982" s="18"/>
      <c r="I982" s="18"/>
    </row>
    <row r="983" spans="1:9" ht="12.75">
      <c r="A983" s="5"/>
      <c r="B983" s="17"/>
      <c r="C983" s="24"/>
      <c r="D983" s="18"/>
      <c r="E983" s="50"/>
      <c r="F983" s="53"/>
      <c r="G983" s="52"/>
      <c r="H983" s="18"/>
      <c r="I983" s="18"/>
    </row>
    <row r="984" spans="1:9" ht="12.75">
      <c r="A984" s="54" t="s">
        <v>0</v>
      </c>
      <c r="B984" s="54" t="s">
        <v>1</v>
      </c>
      <c r="C984" s="55" t="s">
        <v>166</v>
      </c>
      <c r="D984" s="55" t="s">
        <v>193</v>
      </c>
      <c r="E984" s="55" t="s">
        <v>194</v>
      </c>
      <c r="F984" s="55" t="s">
        <v>5</v>
      </c>
      <c r="G984" s="55" t="s">
        <v>6</v>
      </c>
      <c r="H984" s="55" t="s">
        <v>7</v>
      </c>
      <c r="I984" s="55" t="s">
        <v>8</v>
      </c>
    </row>
    <row r="985" spans="1:9" ht="12.75">
      <c r="A985" s="54" t="s">
        <v>195</v>
      </c>
      <c r="B985" s="56" t="s">
        <v>196</v>
      </c>
      <c r="C985" s="57">
        <f>(7.7/6.7)^2*E985</f>
        <v>29.189329472042775</v>
      </c>
      <c r="D985" s="55">
        <v>27</v>
      </c>
      <c r="E985" s="55">
        <v>22.1</v>
      </c>
      <c r="F985" s="58">
        <f>-((D985-C985)/D985)</f>
        <v>0.08108627674232502</v>
      </c>
      <c r="G985" s="57">
        <f>C985-D985</f>
        <v>2.1893294720427754</v>
      </c>
      <c r="H985" s="55">
        <v>1640</v>
      </c>
      <c r="I985" s="55" t="s">
        <v>197</v>
      </c>
    </row>
    <row r="986" spans="1:9" ht="12.75">
      <c r="A986" s="54" t="s">
        <v>198</v>
      </c>
      <c r="B986" s="56" t="s">
        <v>199</v>
      </c>
      <c r="C986" s="57">
        <f>(7.7/6.7)^2*E986</f>
        <v>34.86870126977055</v>
      </c>
      <c r="D986" s="55">
        <v>31.8</v>
      </c>
      <c r="E986" s="55">
        <v>26.4</v>
      </c>
      <c r="F986" s="58">
        <f>-((D986-C986)/D986)</f>
        <v>0.0965000399298914</v>
      </c>
      <c r="G986" s="57">
        <f>C986-D986</f>
        <v>3.0687012697705462</v>
      </c>
      <c r="H986" s="55">
        <v>1640</v>
      </c>
      <c r="I986" s="55" t="s">
        <v>197</v>
      </c>
    </row>
    <row r="987" spans="1:9" ht="12.75">
      <c r="A987" s="54" t="s">
        <v>164</v>
      </c>
      <c r="B987" s="56" t="s">
        <v>103</v>
      </c>
      <c r="C987" s="57">
        <f>(7.7/6.7)^2*E987</f>
        <v>39.35936734239252</v>
      </c>
      <c r="D987" s="55">
        <v>35.6</v>
      </c>
      <c r="E987" s="55">
        <v>29.8</v>
      </c>
      <c r="F987" s="58">
        <f>-((D987-C987)/D987)</f>
        <v>0.10560020624698076</v>
      </c>
      <c r="G987" s="57">
        <f>C987-D987</f>
        <v>3.7593673423925154</v>
      </c>
      <c r="H987" s="55">
        <v>1640</v>
      </c>
      <c r="I987" s="55" t="s">
        <v>197</v>
      </c>
    </row>
    <row r="988" spans="1:9" ht="12.75">
      <c r="A988" s="5"/>
      <c r="B988" s="56" t="s">
        <v>200</v>
      </c>
      <c r="C988" s="57">
        <f>(7.7/6.7)^2*E988</f>
        <v>42.529249276008024</v>
      </c>
      <c r="D988" s="55">
        <v>38.3</v>
      </c>
      <c r="E988" s="55">
        <v>32.2</v>
      </c>
      <c r="F988" s="58">
        <f>-((D988-C988)/D988)</f>
        <v>0.11042426308114953</v>
      </c>
      <c r="G988" s="57">
        <f>C988-D988</f>
        <v>4.2292492760080265</v>
      </c>
      <c r="H988" s="55">
        <v>1640</v>
      </c>
      <c r="I988" s="55" t="s">
        <v>197</v>
      </c>
    </row>
    <row r="989" spans="1:9" ht="12.75">
      <c r="A989" s="5"/>
      <c r="B989" s="56" t="s">
        <v>201</v>
      </c>
      <c r="C989" s="57">
        <f>(7.7/6.7)^2*E989</f>
        <v>45.0387391401203</v>
      </c>
      <c r="D989" s="55">
        <v>40.4</v>
      </c>
      <c r="E989" s="55">
        <v>34.1</v>
      </c>
      <c r="F989" s="58">
        <f>-((D989-C989)/D989)</f>
        <v>0.114820275745552</v>
      </c>
      <c r="G989" s="57">
        <f>C989-D989</f>
        <v>4.6387391401203</v>
      </c>
      <c r="H989" s="55">
        <v>1640</v>
      </c>
      <c r="I989" s="55" t="s">
        <v>197</v>
      </c>
    </row>
    <row r="990" spans="1:9" ht="12.75">
      <c r="A990" s="5"/>
      <c r="B990" s="56" t="s">
        <v>202</v>
      </c>
      <c r="C990" s="57">
        <f>(7.7/6.7)^2*E990</f>
        <v>47.944464245934505</v>
      </c>
      <c r="D990" s="55">
        <v>42.8</v>
      </c>
      <c r="E990" s="55">
        <v>36.3</v>
      </c>
      <c r="F990" s="58">
        <f>-((D990-C990)/D990)</f>
        <v>0.12019776275547915</v>
      </c>
      <c r="G990" s="57">
        <f>C990-D990</f>
        <v>5.144464245934508</v>
      </c>
      <c r="H990" s="55">
        <v>1640</v>
      </c>
      <c r="I990" s="55" t="s">
        <v>197</v>
      </c>
    </row>
    <row r="991" spans="1:9" ht="12.75">
      <c r="A991" s="5"/>
      <c r="B991" s="17"/>
      <c r="C991" s="24"/>
      <c r="D991" s="18"/>
      <c r="E991" s="55" t="s">
        <v>14</v>
      </c>
      <c r="F991" s="58">
        <f>AVERAGE(F985:F990)</f>
        <v>0.10477147075022963</v>
      </c>
      <c r="G991" s="57">
        <f>AVERAGE(G985:G990)</f>
        <v>3.8383084577114452</v>
      </c>
      <c r="H991" s="18"/>
      <c r="I991" s="18"/>
    </row>
    <row r="992" spans="1:9" ht="12.75">
      <c r="A992" s="5"/>
      <c r="B992" s="17"/>
      <c r="C992" s="24"/>
      <c r="D992" s="18"/>
      <c r="E992" s="55"/>
      <c r="F992" s="58"/>
      <c r="G992" s="57"/>
      <c r="H992" s="18"/>
      <c r="I992" s="18"/>
    </row>
    <row r="993" spans="1:9" ht="12.75">
      <c r="A993" s="5"/>
      <c r="B993" s="17"/>
      <c r="C993" s="24"/>
      <c r="D993" s="18"/>
      <c r="E993" s="50"/>
      <c r="F993" s="53"/>
      <c r="G993" s="52"/>
      <c r="H993" s="18"/>
      <c r="I993" s="18"/>
    </row>
    <row r="994" spans="1:9" ht="12.75">
      <c r="A994" s="59" t="s">
        <v>0</v>
      </c>
      <c r="B994" s="59" t="s">
        <v>1</v>
      </c>
      <c r="C994" s="60" t="s">
        <v>205</v>
      </c>
      <c r="D994" s="60" t="s">
        <v>206</v>
      </c>
      <c r="E994" s="60" t="s">
        <v>193</v>
      </c>
      <c r="F994" s="60" t="s">
        <v>5</v>
      </c>
      <c r="G994" s="60" t="s">
        <v>6</v>
      </c>
      <c r="H994" s="60" t="s">
        <v>7</v>
      </c>
      <c r="I994" s="60" t="s">
        <v>8</v>
      </c>
    </row>
    <row r="995" spans="1:9" ht="12.75">
      <c r="A995" s="59" t="s">
        <v>195</v>
      </c>
      <c r="B995" s="61" t="s">
        <v>207</v>
      </c>
      <c r="C995" s="62">
        <f>(8/7)^1.5*E995</f>
        <v>27.48972773956365</v>
      </c>
      <c r="D995" s="60">
        <v>25.9</v>
      </c>
      <c r="E995" s="60">
        <v>22.5</v>
      </c>
      <c r="F995" s="63">
        <f>1-(D995/C995)</f>
        <v>0.0578298830248396</v>
      </c>
      <c r="G995" s="62">
        <f>C995-D995</f>
        <v>1.5897277395636529</v>
      </c>
      <c r="H995" s="60">
        <v>1640</v>
      </c>
      <c r="I995" s="60" t="s">
        <v>197</v>
      </c>
    </row>
    <row r="996" spans="1:9" ht="12.75">
      <c r="A996" s="59" t="s">
        <v>198</v>
      </c>
      <c r="B996" s="61" t="s">
        <v>196</v>
      </c>
      <c r="C996" s="62">
        <f>(8/7)^1.5*E996</f>
        <v>32.98767328747638</v>
      </c>
      <c r="D996" s="60">
        <v>31.3</v>
      </c>
      <c r="E996" s="60">
        <v>27</v>
      </c>
      <c r="F996" s="63">
        <f>1-(D996/C996)</f>
        <v>0.051160725182673006</v>
      </c>
      <c r="G996" s="62">
        <f>C996-D996</f>
        <v>1.6876732874763825</v>
      </c>
      <c r="H996" s="60">
        <v>1640</v>
      </c>
      <c r="I996" s="60" t="s">
        <v>197</v>
      </c>
    </row>
    <row r="997" spans="1:9" ht="12.75">
      <c r="A997" s="5"/>
      <c r="B997" s="61" t="s">
        <v>199</v>
      </c>
      <c r="C997" s="62">
        <f>(8/7)^1.5*E997</f>
        <v>38.85214853858329</v>
      </c>
      <c r="D997" s="60">
        <v>36.4</v>
      </c>
      <c r="E997" s="60">
        <v>31.8</v>
      </c>
      <c r="F997" s="63">
        <f>1-(D997/C997)</f>
        <v>0.0631148760318394</v>
      </c>
      <c r="G997" s="62">
        <f>C997-D997</f>
        <v>2.4521485385832946</v>
      </c>
      <c r="H997" s="60">
        <v>1640</v>
      </c>
      <c r="I997" s="60" t="s">
        <v>197</v>
      </c>
    </row>
    <row r="998" spans="1:9" ht="12.75">
      <c r="A998" s="5"/>
      <c r="B998" s="61" t="s">
        <v>103</v>
      </c>
      <c r="C998" s="62">
        <f>(8/7)^1.5*E998</f>
        <v>43.494858112376264</v>
      </c>
      <c r="D998" s="60">
        <v>40.3</v>
      </c>
      <c r="E998" s="60">
        <v>35.6</v>
      </c>
      <c r="F998" s="63">
        <f>1-(D998/C998)</f>
        <v>0.07345369662137569</v>
      </c>
      <c r="G998" s="62">
        <f>C998-D998</f>
        <v>3.1948581123762665</v>
      </c>
      <c r="H998" s="60">
        <v>1640</v>
      </c>
      <c r="I998" s="60" t="s">
        <v>197</v>
      </c>
    </row>
    <row r="999" spans="1:9" ht="12.75">
      <c r="A999" s="5"/>
      <c r="B999" s="17"/>
      <c r="C999" s="24"/>
      <c r="D999" s="18"/>
      <c r="E999" s="60" t="s">
        <v>14</v>
      </c>
      <c r="F999" s="63">
        <f>AVERAGE(F995:F998)</f>
        <v>0.061389795215181925</v>
      </c>
      <c r="G999" s="62">
        <f>AVERAGE(G995:G998)</f>
        <v>2.231101919499899</v>
      </c>
      <c r="H999" s="18"/>
      <c r="I999" s="18"/>
    </row>
    <row r="1000" spans="1:9" ht="12.75">
      <c r="A1000" s="5"/>
      <c r="B1000" s="17"/>
      <c r="C1000" s="24"/>
      <c r="D1000" s="18"/>
      <c r="E1000" s="50"/>
      <c r="F1000" s="53"/>
      <c r="G1000" s="52"/>
      <c r="H1000" s="18"/>
      <c r="I1000" s="18"/>
    </row>
    <row r="1001" spans="1:9" ht="12.75">
      <c r="A1001" s="64" t="s">
        <v>0</v>
      </c>
      <c r="B1001" s="64" t="s">
        <v>1</v>
      </c>
      <c r="C1001" s="65" t="s">
        <v>208</v>
      </c>
      <c r="D1001" s="65" t="s">
        <v>193</v>
      </c>
      <c r="E1001" s="65" t="s">
        <v>194</v>
      </c>
      <c r="F1001" s="65" t="s">
        <v>5</v>
      </c>
      <c r="G1001" s="65" t="s">
        <v>6</v>
      </c>
      <c r="H1001" s="65" t="s">
        <v>7</v>
      </c>
      <c r="I1001" s="65" t="s">
        <v>8</v>
      </c>
    </row>
    <row r="1002" spans="1:9" ht="12.75">
      <c r="A1002" s="64" t="s">
        <v>195</v>
      </c>
      <c r="B1002" s="66" t="s">
        <v>207</v>
      </c>
      <c r="C1002" s="67">
        <f>(8/7)^2*E1002</f>
        <v>29.387755102040813</v>
      </c>
      <c r="D1002" s="65">
        <v>25.9</v>
      </c>
      <c r="E1002" s="65">
        <v>22.5</v>
      </c>
      <c r="F1002" s="68">
        <f>1-(D1002/C1002)</f>
        <v>0.11868055555555557</v>
      </c>
      <c r="G1002" s="67">
        <f>C1002-D1002</f>
        <v>3.487755102040815</v>
      </c>
      <c r="H1002" s="65">
        <v>1640</v>
      </c>
      <c r="I1002" s="65" t="s">
        <v>197</v>
      </c>
    </row>
    <row r="1003" spans="1:9" ht="12.75">
      <c r="A1003" s="64" t="s">
        <v>198</v>
      </c>
      <c r="B1003" s="66" t="s">
        <v>196</v>
      </c>
      <c r="C1003" s="67">
        <f>(8/7)^2*E1003</f>
        <v>35.265306122448976</v>
      </c>
      <c r="D1003" s="65">
        <v>31.3</v>
      </c>
      <c r="E1003" s="65">
        <v>27</v>
      </c>
      <c r="F1003" s="68">
        <f>1-(D1003/C1003)</f>
        <v>0.11244212962962952</v>
      </c>
      <c r="G1003" s="67">
        <f>C1003-D1003</f>
        <v>3.9653061224489754</v>
      </c>
      <c r="H1003" s="65">
        <v>1640</v>
      </c>
      <c r="I1003" s="65" t="s">
        <v>197</v>
      </c>
    </row>
    <row r="1004" spans="1:9" ht="12.75">
      <c r="A1004" s="5"/>
      <c r="B1004" s="66" t="s">
        <v>199</v>
      </c>
      <c r="C1004" s="67">
        <f>(8/7)^2*E1004</f>
        <v>41.53469387755102</v>
      </c>
      <c r="D1004" s="65">
        <v>36.4</v>
      </c>
      <c r="E1004" s="65">
        <v>31.8</v>
      </c>
      <c r="F1004" s="68">
        <f>1-(D1004/C1004)</f>
        <v>0.12362421383647804</v>
      </c>
      <c r="G1004" s="67">
        <f>C1004-D1004</f>
        <v>5.1346938775510225</v>
      </c>
      <c r="H1004" s="65">
        <v>1640</v>
      </c>
      <c r="I1004" s="65" t="s">
        <v>197</v>
      </c>
    </row>
    <row r="1005" spans="1:9" ht="12.75">
      <c r="A1005" s="5"/>
      <c r="B1005" s="66" t="s">
        <v>103</v>
      </c>
      <c r="C1005" s="67">
        <f>(8/7)^2*E1005</f>
        <v>46.497959183673466</v>
      </c>
      <c r="D1005" s="65">
        <v>40.3</v>
      </c>
      <c r="E1005" s="65">
        <v>35.6</v>
      </c>
      <c r="F1005" s="68">
        <f>1-(D1005/C1005)</f>
        <v>0.1332952949438202</v>
      </c>
      <c r="G1005" s="67">
        <f>C1005-D1005</f>
        <v>6.197959183673468</v>
      </c>
      <c r="H1005" s="65">
        <v>1640</v>
      </c>
      <c r="I1005" s="65" t="s">
        <v>197</v>
      </c>
    </row>
    <row r="1006" spans="1:9" ht="12.75">
      <c r="A1006" s="5"/>
      <c r="B1006" s="66"/>
      <c r="C1006" s="67"/>
      <c r="D1006" s="65"/>
      <c r="E1006" s="65" t="s">
        <v>14</v>
      </c>
      <c r="F1006" s="68">
        <f>AVERAGE(F1002:F1005)</f>
        <v>0.12201054849137083</v>
      </c>
      <c r="G1006" s="67">
        <f>AVERAGE(G1002:G1005)</f>
        <v>4.69642857142857</v>
      </c>
      <c r="H1006" s="65"/>
      <c r="I1006" s="65"/>
    </row>
    <row r="1007" spans="1:9" ht="12.75">
      <c r="A1007" s="5"/>
      <c r="B1007" s="66"/>
      <c r="C1007" s="67"/>
      <c r="D1007" s="65"/>
      <c r="E1007" s="65"/>
      <c r="F1007" s="68"/>
      <c r="G1007" s="67"/>
      <c r="H1007" s="65"/>
      <c r="I1007" s="65"/>
    </row>
    <row r="1008" spans="1:9" ht="12.75">
      <c r="A1008" s="59" t="s">
        <v>0</v>
      </c>
      <c r="B1008" s="59" t="s">
        <v>1</v>
      </c>
      <c r="C1008" s="60" t="s">
        <v>209</v>
      </c>
      <c r="D1008" s="60" t="s">
        <v>206</v>
      </c>
      <c r="E1008" s="60" t="s">
        <v>193</v>
      </c>
      <c r="F1008" s="60" t="s">
        <v>5</v>
      </c>
      <c r="G1008" s="60" t="s">
        <v>6</v>
      </c>
      <c r="H1008" s="60" t="s">
        <v>7</v>
      </c>
      <c r="I1008" s="60" t="s">
        <v>8</v>
      </c>
    </row>
    <row r="1009" spans="1:9" ht="12.75">
      <c r="A1009" s="59" t="s">
        <v>195</v>
      </c>
      <c r="B1009" s="61" t="s">
        <v>207</v>
      </c>
      <c r="C1009" s="62">
        <f>(8.8/7.8)^1.2*E1009</f>
        <v>26.004481656126252</v>
      </c>
      <c r="D1009" s="60">
        <v>25.9</v>
      </c>
      <c r="E1009" s="60">
        <v>22.5</v>
      </c>
      <c r="F1009" s="63">
        <f>-((D1009-C1009)/D1009)</f>
        <v>0.004034040777075428</v>
      </c>
      <c r="G1009" s="62">
        <f>C1009-D1009</f>
        <v>0.1044816561262536</v>
      </c>
      <c r="H1009" s="60">
        <v>1640</v>
      </c>
      <c r="I1009" s="60" t="s">
        <v>197</v>
      </c>
    </row>
    <row r="1010" spans="1:9" ht="12.75">
      <c r="A1010" s="59" t="s">
        <v>198</v>
      </c>
      <c r="B1010" s="61" t="s">
        <v>196</v>
      </c>
      <c r="C1010" s="62">
        <f>(8.8/7.8)^1.2*E1010</f>
        <v>31.205377987351504</v>
      </c>
      <c r="D1010" s="60">
        <v>31.3</v>
      </c>
      <c r="E1010" s="60">
        <v>27</v>
      </c>
      <c r="F1010" s="63">
        <f>-((D1010-C1010)/D1010)</f>
        <v>-0.0030230674967570825</v>
      </c>
      <c r="G1010" s="62">
        <f>C1010-D1010</f>
        <v>-0.09462201264849668</v>
      </c>
      <c r="H1010" s="60">
        <v>1640</v>
      </c>
      <c r="I1010" s="60" t="s">
        <v>197</v>
      </c>
    </row>
    <row r="1011" spans="1:9" ht="12.75">
      <c r="A1011" s="59" t="s">
        <v>164</v>
      </c>
      <c r="B1011" s="61" t="s">
        <v>199</v>
      </c>
      <c r="C1011" s="62">
        <f>(8.8/7.8)^1.2*E1011</f>
        <v>36.753000740658436</v>
      </c>
      <c r="D1011" s="60">
        <v>36.4</v>
      </c>
      <c r="E1011" s="60">
        <v>31.8</v>
      </c>
      <c r="F1011" s="63">
        <f>-((D1011-C1011)/D1011)</f>
        <v>0.00969782254556147</v>
      </c>
      <c r="G1011" s="62">
        <f>C1011-D1011</f>
        <v>0.35300074065843745</v>
      </c>
      <c r="H1011" s="60">
        <v>1640</v>
      </c>
      <c r="I1011" s="60" t="s">
        <v>197</v>
      </c>
    </row>
    <row r="1012" spans="1:9" ht="12.75">
      <c r="A1012" s="59"/>
      <c r="B1012" s="61" t="s">
        <v>103</v>
      </c>
      <c r="C1012" s="62">
        <f>(8.8/7.8)^1.2*E1012</f>
        <v>41.144868753693096</v>
      </c>
      <c r="D1012" s="60">
        <v>40.3</v>
      </c>
      <c r="E1012" s="60">
        <v>35.6</v>
      </c>
      <c r="F1012" s="63">
        <f>-((D1012-C1012)/D1012)</f>
        <v>0.020964485203302706</v>
      </c>
      <c r="G1012" s="62">
        <f>C1012-D1012</f>
        <v>0.844868753693099</v>
      </c>
      <c r="H1012" s="60">
        <v>1640</v>
      </c>
      <c r="I1012" s="60" t="s">
        <v>197</v>
      </c>
    </row>
    <row r="1013" spans="1:9" ht="12.75">
      <c r="A1013" s="5"/>
      <c r="B1013" s="17"/>
      <c r="C1013" s="24"/>
      <c r="D1013" s="18"/>
      <c r="E1013" s="60" t="s">
        <v>14</v>
      </c>
      <c r="F1013" s="63">
        <f>AVERAGE(F1009:F1012)</f>
        <v>0.00791832025729563</v>
      </c>
      <c r="G1013" s="62">
        <f>AVERAGE(G1009:G1012)</f>
        <v>0.30193228445732334</v>
      </c>
      <c r="H1013" s="18"/>
      <c r="I1013" s="18"/>
    </row>
    <row r="1014" spans="1:9" ht="12.75">
      <c r="A1014" s="5"/>
      <c r="B1014" s="17"/>
      <c r="C1014" s="24"/>
      <c r="D1014" s="18"/>
      <c r="E1014" s="60"/>
      <c r="F1014" s="63"/>
      <c r="G1014" s="62"/>
      <c r="H1014" s="18"/>
      <c r="I1014" s="18"/>
    </row>
    <row r="1015" spans="1:9" ht="12.75">
      <c r="A1015" s="64" t="s">
        <v>0</v>
      </c>
      <c r="B1015" s="64" t="s">
        <v>1</v>
      </c>
      <c r="C1015" s="65" t="s">
        <v>166</v>
      </c>
      <c r="D1015" s="65" t="s">
        <v>206</v>
      </c>
      <c r="E1015" s="65" t="s">
        <v>193</v>
      </c>
      <c r="F1015" s="65" t="s">
        <v>5</v>
      </c>
      <c r="G1015" s="65" t="s">
        <v>6</v>
      </c>
      <c r="H1015" s="65" t="s">
        <v>7</v>
      </c>
      <c r="I1015" s="65" t="s">
        <v>8</v>
      </c>
    </row>
    <row r="1016" spans="1:9" ht="12.75">
      <c r="A1016" s="64" t="s">
        <v>195</v>
      </c>
      <c r="B1016" s="66" t="s">
        <v>207</v>
      </c>
      <c r="C1016" s="67">
        <f>(8.8/7.8)^2*E1016</f>
        <v>28.63905325443788</v>
      </c>
      <c r="D1016" s="65">
        <v>25.9</v>
      </c>
      <c r="E1016" s="65">
        <v>22.5</v>
      </c>
      <c r="F1016" s="68">
        <f>-((D1016-C1016)/D1016)</f>
        <v>0.1057549519087985</v>
      </c>
      <c r="G1016" s="67">
        <f>C1016-D1016</f>
        <v>2.7390532544378807</v>
      </c>
      <c r="H1016" s="65">
        <v>1640</v>
      </c>
      <c r="I1016" s="65" t="s">
        <v>197</v>
      </c>
    </row>
    <row r="1017" spans="1:9" ht="12.75">
      <c r="A1017" s="64" t="s">
        <v>198</v>
      </c>
      <c r="B1017" s="66" t="s">
        <v>196</v>
      </c>
      <c r="C1017" s="67">
        <f>(8.8/7.8)^2*E1017</f>
        <v>34.36686390532545</v>
      </c>
      <c r="D1017" s="65">
        <v>31.3</v>
      </c>
      <c r="E1017" s="65">
        <v>27</v>
      </c>
      <c r="F1017" s="68">
        <f>-((D1017-C1017)/D1017)</f>
        <v>0.09798287237461506</v>
      </c>
      <c r="G1017" s="67">
        <f>C1017-D1017</f>
        <v>3.0668639053254516</v>
      </c>
      <c r="H1017" s="65">
        <v>1640</v>
      </c>
      <c r="I1017" s="65" t="s">
        <v>197</v>
      </c>
    </row>
    <row r="1018" spans="1:9" ht="12.75">
      <c r="A1018" s="64" t="s">
        <v>164</v>
      </c>
      <c r="B1018" s="66" t="s">
        <v>199</v>
      </c>
      <c r="C1018" s="67">
        <f>(8.8/7.8)^2*E1018</f>
        <v>40.47652859960554</v>
      </c>
      <c r="D1018" s="65">
        <v>36.4</v>
      </c>
      <c r="E1018" s="65">
        <v>31.8</v>
      </c>
      <c r="F1018" s="68">
        <f>-((D1018-C1018)/D1018)</f>
        <v>0.1119925439452071</v>
      </c>
      <c r="G1018" s="67">
        <f>C1018-D1018</f>
        <v>4.076528599605538</v>
      </c>
      <c r="H1018" s="65">
        <v>1640</v>
      </c>
      <c r="I1018" s="65" t="s">
        <v>197</v>
      </c>
    </row>
    <row r="1019" spans="1:9" ht="12.75">
      <c r="A1019" s="64"/>
      <c r="B1019" s="66" t="s">
        <v>103</v>
      </c>
      <c r="C1019" s="67">
        <f>(8.8/7.8)^2*E1019</f>
        <v>45.313346482577266</v>
      </c>
      <c r="D1019" s="65">
        <v>40.3</v>
      </c>
      <c r="E1019" s="65">
        <v>35.6</v>
      </c>
      <c r="F1019" s="68">
        <f>-((D1019-C1019)/D1019)</f>
        <v>0.12440065713591239</v>
      </c>
      <c r="G1019" s="67">
        <f>C1019-D1019</f>
        <v>5.013346482577269</v>
      </c>
      <c r="H1019" s="65">
        <v>1640</v>
      </c>
      <c r="I1019" s="65" t="s">
        <v>197</v>
      </c>
    </row>
    <row r="1020" spans="1:9" ht="12.75">
      <c r="A1020" s="5"/>
      <c r="B1020" s="17"/>
      <c r="C1020" s="24"/>
      <c r="D1020" s="18"/>
      <c r="E1020" s="65" t="s">
        <v>14</v>
      </c>
      <c r="F1020" s="68">
        <f>AVERAGE(F1016:F1019)</f>
        <v>0.11003275634113324</v>
      </c>
      <c r="G1020" s="67">
        <f>AVERAGE(G1016:G1019)</f>
        <v>3.723948060486535</v>
      </c>
      <c r="H1020" s="18"/>
      <c r="I1020" s="18"/>
    </row>
    <row r="1021" spans="1:9" ht="12.75">
      <c r="A1021" s="5"/>
      <c r="B1021" s="17"/>
      <c r="C1021" s="24"/>
      <c r="D1021" s="18"/>
      <c r="E1021" s="18"/>
      <c r="F1021" s="25"/>
      <c r="G1021" s="24"/>
      <c r="H1021" s="18"/>
      <c r="I1021" s="18"/>
    </row>
    <row r="1022" spans="1:9" ht="12.75">
      <c r="A1022" s="20" t="s">
        <v>0</v>
      </c>
      <c r="B1022" s="20" t="s">
        <v>1</v>
      </c>
      <c r="C1022" s="16" t="s">
        <v>210</v>
      </c>
      <c r="D1022" s="16" t="s">
        <v>73</v>
      </c>
      <c r="E1022" s="16" t="s">
        <v>3</v>
      </c>
      <c r="F1022" s="16" t="s">
        <v>5</v>
      </c>
      <c r="G1022" s="16" t="s">
        <v>6</v>
      </c>
      <c r="H1022" s="16" t="s">
        <v>7</v>
      </c>
      <c r="I1022" s="16" t="s">
        <v>8</v>
      </c>
    </row>
    <row r="1023" spans="1:9" ht="12.75">
      <c r="A1023" s="20" t="s">
        <v>211</v>
      </c>
      <c r="B1023" s="20" t="s">
        <v>35</v>
      </c>
      <c r="C1023" s="21">
        <f>(4/3)^1.86*E1023</f>
        <v>39.65046323164176</v>
      </c>
      <c r="D1023" s="16">
        <v>40.23</v>
      </c>
      <c r="E1023" s="16">
        <v>23.22</v>
      </c>
      <c r="F1023" s="22">
        <f>-((D1023-C1023)/D1023)</f>
        <v>-0.014405587083227403</v>
      </c>
      <c r="G1023" s="21">
        <f>C1023-D1023</f>
        <v>-0.5795367683582384</v>
      </c>
      <c r="H1023" s="16">
        <v>1700</v>
      </c>
      <c r="I1023" s="16" t="s">
        <v>212</v>
      </c>
    </row>
    <row r="1024" spans="2:9" ht="12.75">
      <c r="B1024" s="20" t="s">
        <v>22</v>
      </c>
      <c r="C1024" s="21">
        <f>(4/3)^1.86*E1024</f>
        <v>29.439017489814983</v>
      </c>
      <c r="D1024" s="16">
        <v>28.89</v>
      </c>
      <c r="E1024" s="16">
        <v>17.24</v>
      </c>
      <c r="F1024" s="22">
        <f>-((D1024-C1024)/D1024)</f>
        <v>0.019003720658185615</v>
      </c>
      <c r="G1024" s="21">
        <f>C1024-D1024</f>
        <v>0.5490174898149824</v>
      </c>
      <c r="H1024" s="16">
        <v>1700</v>
      </c>
      <c r="I1024" s="16" t="s">
        <v>212</v>
      </c>
    </row>
    <row r="1025" spans="2:9" ht="12.75">
      <c r="B1025" s="20" t="s">
        <v>13</v>
      </c>
      <c r="C1025" s="21">
        <f>(4/3)^1.86*E1025</f>
        <v>23.547798792607228</v>
      </c>
      <c r="D1025" s="16">
        <v>23.49</v>
      </c>
      <c r="E1025" s="16">
        <v>13.79</v>
      </c>
      <c r="F1025" s="22">
        <f>-((D1025-C1025)/D1025)</f>
        <v>0.0024605701407930886</v>
      </c>
      <c r="G1025" s="21">
        <f>C1025-D1025</f>
        <v>0.05779879260722964</v>
      </c>
      <c r="H1025" s="16">
        <v>1700</v>
      </c>
      <c r="I1025" s="16" t="s">
        <v>212</v>
      </c>
    </row>
    <row r="1026" spans="2:8" ht="12.75">
      <c r="B1026" s="20"/>
      <c r="C1026" s="21"/>
      <c r="D1026" s="16"/>
      <c r="E1026" s="16" t="s">
        <v>14</v>
      </c>
      <c r="F1026" s="22">
        <f>AVERAGE(F1023:F1025)</f>
        <v>0.0023529012385837666</v>
      </c>
      <c r="G1026" s="21">
        <f>AVERAGE(G1023:G1025)</f>
        <v>0.009093171354657889</v>
      </c>
      <c r="H1026" s="16"/>
    </row>
    <row r="1027" spans="2:8" ht="12.75">
      <c r="B1027" s="20"/>
      <c r="C1027" s="21"/>
      <c r="D1027" s="16"/>
      <c r="E1027" s="16"/>
      <c r="F1027" s="22"/>
      <c r="G1027" s="21"/>
      <c r="H1027" s="16"/>
    </row>
    <row r="1028" spans="1:9" ht="12.75">
      <c r="A1028" s="23" t="s">
        <v>0</v>
      </c>
      <c r="B1028" s="23" t="s">
        <v>1</v>
      </c>
      <c r="C1028" s="18" t="s">
        <v>74</v>
      </c>
      <c r="D1028" s="18" t="s">
        <v>73</v>
      </c>
      <c r="E1028" s="18" t="s">
        <v>3</v>
      </c>
      <c r="F1028" s="18" t="s">
        <v>5</v>
      </c>
      <c r="G1028" s="18" t="s">
        <v>6</v>
      </c>
      <c r="H1028" s="18" t="s">
        <v>7</v>
      </c>
      <c r="I1028" s="18" t="s">
        <v>8</v>
      </c>
    </row>
    <row r="1029" spans="1:9" ht="12.75">
      <c r="A1029" s="23" t="s">
        <v>211</v>
      </c>
      <c r="B1029" s="23" t="s">
        <v>35</v>
      </c>
      <c r="C1029" s="24">
        <f>(4/3)^2*E1029</f>
        <v>41.279999999999994</v>
      </c>
      <c r="D1029" s="18">
        <v>40.23</v>
      </c>
      <c r="E1029" s="18">
        <v>23.22</v>
      </c>
      <c r="F1029" s="25">
        <f>-((D1029-C1029)/D1029)</f>
        <v>0.02609992542878442</v>
      </c>
      <c r="G1029" s="24">
        <f>C1029-D1029</f>
        <v>1.0499999999999972</v>
      </c>
      <c r="H1029" s="18">
        <v>1700</v>
      </c>
      <c r="I1029" s="18" t="s">
        <v>212</v>
      </c>
    </row>
    <row r="1030" spans="1:9" ht="12.75">
      <c r="A1030" s="5"/>
      <c r="B1030" s="23" t="s">
        <v>22</v>
      </c>
      <c r="C1030" s="24">
        <f>(4/3)^2*E1030</f>
        <v>30.648888888888884</v>
      </c>
      <c r="D1030" s="18">
        <v>28.89</v>
      </c>
      <c r="E1030" s="18">
        <v>17.24</v>
      </c>
      <c r="F1030" s="25">
        <f>-((D1030-C1030)/D1030)</f>
        <v>0.06088227375870139</v>
      </c>
      <c r="G1030" s="24">
        <f>C1030-D1030</f>
        <v>1.7588888888888832</v>
      </c>
      <c r="H1030" s="18">
        <v>1700</v>
      </c>
      <c r="I1030" s="18" t="s">
        <v>212</v>
      </c>
    </row>
    <row r="1031" spans="1:9" ht="12.75">
      <c r="A1031" s="5"/>
      <c r="B1031" s="23" t="s">
        <v>13</v>
      </c>
      <c r="C1031" s="24">
        <f>(4/3)^2*E1031</f>
        <v>24.515555555555554</v>
      </c>
      <c r="D1031" s="18">
        <v>23.49</v>
      </c>
      <c r="E1031" s="18">
        <v>13.79</v>
      </c>
      <c r="F1031" s="25">
        <f>-((D1031-C1031)/D1031)</f>
        <v>0.04365924033867842</v>
      </c>
      <c r="G1031" s="24">
        <f>C1031-D1031</f>
        <v>1.025555555555556</v>
      </c>
      <c r="H1031" s="18">
        <v>1700</v>
      </c>
      <c r="I1031" s="18" t="s">
        <v>212</v>
      </c>
    </row>
    <row r="1032" spans="1:9" ht="12.75">
      <c r="A1032" s="5"/>
      <c r="B1032" s="23"/>
      <c r="C1032" s="24"/>
      <c r="D1032" s="18"/>
      <c r="E1032" s="18" t="s">
        <v>14</v>
      </c>
      <c r="F1032" s="25">
        <f>AVERAGE(F1029:F1031)</f>
        <v>0.04354714650872141</v>
      </c>
      <c r="G1032" s="24">
        <f>AVERAGE(G1029:G1031)</f>
        <v>1.2781481481481454</v>
      </c>
      <c r="H1032" s="18"/>
      <c r="I1032" s="5"/>
    </row>
    <row r="1033" spans="1:9" ht="12.75">
      <c r="A1033" s="5"/>
      <c r="B1033" s="23"/>
      <c r="C1033" s="24"/>
      <c r="D1033" s="18"/>
      <c r="E1033" s="18"/>
      <c r="F1033" s="25"/>
      <c r="G1033" s="24"/>
      <c r="H1033" s="18"/>
      <c r="I1033" s="5"/>
    </row>
    <row r="1034" spans="1:9" ht="12.75">
      <c r="A1034" s="20" t="s">
        <v>0</v>
      </c>
      <c r="B1034" s="20" t="s">
        <v>1</v>
      </c>
      <c r="C1034" s="16" t="s">
        <v>213</v>
      </c>
      <c r="D1034" s="16" t="s">
        <v>73</v>
      </c>
      <c r="E1034" s="16" t="s">
        <v>3</v>
      </c>
      <c r="F1034" s="16" t="s">
        <v>5</v>
      </c>
      <c r="G1034" s="16" t="s">
        <v>6</v>
      </c>
      <c r="H1034" s="16" t="s">
        <v>7</v>
      </c>
      <c r="I1034" s="16" t="s">
        <v>8</v>
      </c>
    </row>
    <row r="1035" spans="1:9" ht="12.75">
      <c r="A1035" s="20" t="s">
        <v>214</v>
      </c>
      <c r="B1035" s="15" t="s">
        <v>71</v>
      </c>
      <c r="C1035" s="21">
        <f>(4/3)^1.8*E1035</f>
        <v>48.57225346999904</v>
      </c>
      <c r="D1035" s="16">
        <v>46.49</v>
      </c>
      <c r="E1035" s="16">
        <v>28.94</v>
      </c>
      <c r="F1035" s="22">
        <f>-((D1035-C1035)/D1035)</f>
        <v>0.04478927661860698</v>
      </c>
      <c r="G1035" s="21">
        <f>C1035-D1035</f>
        <v>2.0822534699990385</v>
      </c>
      <c r="H1035" s="16">
        <v>1390</v>
      </c>
      <c r="I1035" s="16" t="s">
        <v>212</v>
      </c>
    </row>
    <row r="1036" spans="2:9" ht="12.75">
      <c r="B1036" s="15" t="s">
        <v>52</v>
      </c>
      <c r="C1036" s="21">
        <f>(4/3)^1.8*E1036</f>
        <v>52.26468462528577</v>
      </c>
      <c r="D1036" s="16">
        <v>51</v>
      </c>
      <c r="E1036" s="16">
        <v>31.14</v>
      </c>
      <c r="F1036" s="22">
        <f>-((D1036-C1036)/D1036)</f>
        <v>0.024797737750701314</v>
      </c>
      <c r="G1036" s="21">
        <f>C1036-D1036</f>
        <v>1.264684625285767</v>
      </c>
      <c r="H1036" s="16">
        <v>1390</v>
      </c>
      <c r="I1036" s="16" t="s">
        <v>212</v>
      </c>
    </row>
    <row r="1037" spans="2:9" ht="12.75">
      <c r="B1037" s="15" t="s">
        <v>51</v>
      </c>
      <c r="C1037" s="21">
        <f>(4/3)^1.8*E1037</f>
        <v>34.876690639481</v>
      </c>
      <c r="D1037" s="16">
        <v>35.42</v>
      </c>
      <c r="E1037" s="16">
        <v>20.78</v>
      </c>
      <c r="F1037" s="22">
        <f>-((D1037-C1037)/D1037)</f>
        <v>-0.015339055915273963</v>
      </c>
      <c r="G1037" s="21">
        <f>C1037-D1037</f>
        <v>-0.5433093605190038</v>
      </c>
      <c r="H1037" s="16">
        <v>1390</v>
      </c>
      <c r="I1037" s="16" t="s">
        <v>212</v>
      </c>
    </row>
    <row r="1038" spans="2:9" ht="12.75">
      <c r="B1038" s="15" t="s">
        <v>67</v>
      </c>
      <c r="C1038" s="21">
        <f>(4/3)^1.8*E1038</f>
        <v>31.284962152065727</v>
      </c>
      <c r="D1038" s="16">
        <v>31.12</v>
      </c>
      <c r="E1038" s="16">
        <v>18.64</v>
      </c>
      <c r="F1038" s="22">
        <f>-((D1038-C1038)/D1038)</f>
        <v>0.005300840362009199</v>
      </c>
      <c r="G1038" s="21">
        <f>C1038-D1038</f>
        <v>0.1649621520657263</v>
      </c>
      <c r="H1038" s="16">
        <v>1390</v>
      </c>
      <c r="I1038" s="16" t="s">
        <v>212</v>
      </c>
    </row>
    <row r="1039" spans="2:9" ht="12.75">
      <c r="B1039" s="15" t="s">
        <v>42</v>
      </c>
      <c r="C1039" s="21">
        <f>(4/3)^1.8*E1039</f>
        <v>29.606584354208124</v>
      </c>
      <c r="D1039" s="16">
        <v>29.87</v>
      </c>
      <c r="E1039" s="16">
        <v>17.64</v>
      </c>
      <c r="F1039" s="22">
        <f>-((D1039-C1039)/D1039)</f>
        <v>-0.008818736049276098</v>
      </c>
      <c r="G1039" s="21">
        <f>C1039-D1039</f>
        <v>-0.26341564579187704</v>
      </c>
      <c r="H1039" s="16">
        <v>1390</v>
      </c>
      <c r="I1039" s="16" t="s">
        <v>212</v>
      </c>
    </row>
    <row r="1040" spans="2:9" ht="12.75">
      <c r="B1040" s="15" t="s">
        <v>35</v>
      </c>
      <c r="C1040" s="21">
        <f>(4/3)^1.8*E1040</f>
        <v>22.89307316277771</v>
      </c>
      <c r="D1040" s="16">
        <v>23.66</v>
      </c>
      <c r="E1040" s="16">
        <v>13.64</v>
      </c>
      <c r="F1040" s="22">
        <f>-((D1040-C1040)/D1040)</f>
        <v>-0.032414490161550694</v>
      </c>
      <c r="G1040" s="21">
        <f>C1040-D1040</f>
        <v>-0.7669268372222895</v>
      </c>
      <c r="H1040" s="16">
        <v>1390</v>
      </c>
      <c r="I1040" s="16" t="s">
        <v>212</v>
      </c>
    </row>
    <row r="1041" spans="1:9" ht="12.75">
      <c r="A1041" s="5"/>
      <c r="B1041" s="23"/>
      <c r="C1041" s="24"/>
      <c r="D1041" s="18"/>
      <c r="E1041" s="16" t="s">
        <v>14</v>
      </c>
      <c r="F1041" s="22">
        <f>AVERAGE(F1035:F1040)</f>
        <v>0.00305259543420279</v>
      </c>
      <c r="G1041" s="21">
        <f>AVERAGE(G1035:G1040)</f>
        <v>0.32304140063622694</v>
      </c>
      <c r="H1041" s="18"/>
      <c r="I1041" s="5"/>
    </row>
    <row r="1042" spans="1:9" ht="12.75">
      <c r="A1042" s="5"/>
      <c r="B1042" s="23"/>
      <c r="C1042" s="24"/>
      <c r="D1042" s="18"/>
      <c r="E1042" s="18"/>
      <c r="F1042" s="25"/>
      <c r="G1042" s="24"/>
      <c r="H1042" s="18"/>
      <c r="I1042" s="5"/>
    </row>
    <row r="1043" spans="1:9" ht="12.75">
      <c r="A1043" s="23" t="s">
        <v>0</v>
      </c>
      <c r="B1043" s="23" t="s">
        <v>1</v>
      </c>
      <c r="C1043" s="18" t="s">
        <v>74</v>
      </c>
      <c r="D1043" s="18" t="s">
        <v>73</v>
      </c>
      <c r="E1043" s="18" t="s">
        <v>3</v>
      </c>
      <c r="F1043" s="18" t="s">
        <v>5</v>
      </c>
      <c r="G1043" s="18" t="s">
        <v>6</v>
      </c>
      <c r="H1043" s="18" t="s">
        <v>7</v>
      </c>
      <c r="I1043" s="18" t="s">
        <v>8</v>
      </c>
    </row>
    <row r="1044" spans="1:9" ht="12.75">
      <c r="A1044" s="23" t="s">
        <v>214</v>
      </c>
      <c r="B1044" s="17" t="s">
        <v>71</v>
      </c>
      <c r="C1044" s="24">
        <f>(4/3)^2*E1044</f>
        <v>51.44888888888889</v>
      </c>
      <c r="D1044" s="18">
        <v>46.49</v>
      </c>
      <c r="E1044" s="18">
        <v>28.94</v>
      </c>
      <c r="F1044" s="25">
        <f>-((D1044-C1044)/D1044)</f>
        <v>0.106665710666571</v>
      </c>
      <c r="G1044" s="24">
        <f>C1044-D1044</f>
        <v>4.958888888888886</v>
      </c>
      <c r="H1044" s="18">
        <v>1390</v>
      </c>
      <c r="I1044" s="18" t="s">
        <v>212</v>
      </c>
    </row>
    <row r="1045" spans="1:9" ht="12.75">
      <c r="A1045" s="5"/>
      <c r="B1045" s="17" t="s">
        <v>52</v>
      </c>
      <c r="C1045" s="24">
        <f>(4/3)^2*E1045</f>
        <v>55.36</v>
      </c>
      <c r="D1045" s="18">
        <v>51</v>
      </c>
      <c r="E1045" s="18">
        <v>31.14</v>
      </c>
      <c r="F1045" s="25">
        <f>-((D1045-C1045)/D1045)</f>
        <v>0.08549019607843136</v>
      </c>
      <c r="G1045" s="24">
        <f>C1045-D1045</f>
        <v>4.359999999999999</v>
      </c>
      <c r="H1045" s="18">
        <v>1390</v>
      </c>
      <c r="I1045" s="18" t="s">
        <v>212</v>
      </c>
    </row>
    <row r="1046" spans="1:9" ht="12.75">
      <c r="A1046" s="5"/>
      <c r="B1046" s="17" t="s">
        <v>51</v>
      </c>
      <c r="C1046" s="24">
        <f>(4/3)^2*E1046</f>
        <v>36.94222222222222</v>
      </c>
      <c r="D1046" s="18">
        <v>35.42</v>
      </c>
      <c r="E1046" s="18">
        <v>20.78</v>
      </c>
      <c r="F1046" s="25">
        <f>-((D1046-C1046)/D1046)</f>
        <v>0.042976347324173304</v>
      </c>
      <c r="G1046" s="24">
        <f>C1046-D1046</f>
        <v>1.5222222222222186</v>
      </c>
      <c r="H1046" s="18">
        <v>1390</v>
      </c>
      <c r="I1046" s="18" t="s">
        <v>212</v>
      </c>
    </row>
    <row r="1047" spans="1:9" ht="12.75">
      <c r="A1047" s="5"/>
      <c r="B1047" s="17" t="s">
        <v>67</v>
      </c>
      <c r="C1047" s="24">
        <f>(4/3)^2*E1047</f>
        <v>33.13777777777778</v>
      </c>
      <c r="D1047" s="18">
        <v>31.12</v>
      </c>
      <c r="E1047" s="18">
        <v>18.64</v>
      </c>
      <c r="F1047" s="25">
        <f>-((D1047-C1047)/D1047)</f>
        <v>0.0648386175378463</v>
      </c>
      <c r="G1047" s="24">
        <f>C1047-D1047</f>
        <v>2.017777777777777</v>
      </c>
      <c r="H1047" s="18">
        <v>1390</v>
      </c>
      <c r="I1047" s="18" t="s">
        <v>212</v>
      </c>
    </row>
    <row r="1048" spans="1:9" ht="12.75">
      <c r="A1048" s="5"/>
      <c r="B1048" s="17" t="s">
        <v>42</v>
      </c>
      <c r="C1048" s="24">
        <f>(4/3)^2*E1048</f>
        <v>31.36</v>
      </c>
      <c r="D1048" s="18">
        <v>29.87</v>
      </c>
      <c r="E1048" s="18">
        <v>17.64</v>
      </c>
      <c r="F1048" s="25">
        <f>-((D1048-C1048)/D1048)</f>
        <v>0.049882825577502454</v>
      </c>
      <c r="G1048" s="24">
        <f>C1048-D1048</f>
        <v>1.4899999999999984</v>
      </c>
      <c r="H1048" s="18">
        <v>1390</v>
      </c>
      <c r="I1048" s="18" t="s">
        <v>212</v>
      </c>
    </row>
    <row r="1049" spans="1:9" ht="12.75">
      <c r="A1049" s="5"/>
      <c r="B1049" s="17" t="s">
        <v>35</v>
      </c>
      <c r="C1049" s="24">
        <f>(4/3)^2*E1049</f>
        <v>24.24888888888889</v>
      </c>
      <c r="D1049" s="18">
        <v>23.66</v>
      </c>
      <c r="E1049" s="18">
        <v>13.64</v>
      </c>
      <c r="F1049" s="25">
        <f>-((D1049-C1049)/D1049)</f>
        <v>0.024889640274255647</v>
      </c>
      <c r="G1049" s="24">
        <f>C1049-D1049</f>
        <v>0.5888888888888886</v>
      </c>
      <c r="H1049" s="18">
        <v>1390</v>
      </c>
      <c r="I1049" s="18" t="s">
        <v>212</v>
      </c>
    </row>
    <row r="1050" spans="1:9" ht="12.75">
      <c r="A1050" s="5"/>
      <c r="B1050" s="23"/>
      <c r="C1050" s="24"/>
      <c r="D1050" s="18"/>
      <c r="E1050" s="18" t="s">
        <v>14</v>
      </c>
      <c r="F1050" s="25">
        <f>AVERAGE(F1044:F1049)</f>
        <v>0.06245722290979668</v>
      </c>
      <c r="G1050" s="24">
        <f>AVERAGE(G1044:G1049)</f>
        <v>2.489629629629628</v>
      </c>
      <c r="H1050" s="18"/>
      <c r="I1050" s="5"/>
    </row>
    <row r="1051" spans="1:9" ht="12.75">
      <c r="A1051" s="5"/>
      <c r="B1051" s="23"/>
      <c r="C1051" s="24"/>
      <c r="D1051" s="18"/>
      <c r="E1051" s="18"/>
      <c r="F1051" s="25"/>
      <c r="G1051" s="24"/>
      <c r="H1051" s="18"/>
      <c r="I1051" s="5"/>
    </row>
    <row r="1052" spans="1:9" ht="12.75">
      <c r="A1052" s="20" t="s">
        <v>0</v>
      </c>
      <c r="B1052" s="20" t="s">
        <v>1</v>
      </c>
      <c r="C1052" s="16" t="s">
        <v>215</v>
      </c>
      <c r="D1052" s="16" t="s">
        <v>73</v>
      </c>
      <c r="E1052" s="16" t="s">
        <v>3</v>
      </c>
      <c r="F1052" s="16" t="s">
        <v>5</v>
      </c>
      <c r="G1052" s="16" t="s">
        <v>6</v>
      </c>
      <c r="H1052" s="16" t="s">
        <v>7</v>
      </c>
      <c r="I1052" s="16" t="s">
        <v>8</v>
      </c>
    </row>
    <row r="1053" spans="1:9" ht="12.75">
      <c r="A1053" s="20" t="s">
        <v>216</v>
      </c>
      <c r="B1053" s="20" t="s">
        <v>105</v>
      </c>
      <c r="C1053" s="21">
        <f>(4/3)^1.7*E1053</f>
        <v>32.419941906295016</v>
      </c>
      <c r="D1053" s="16">
        <v>31.71</v>
      </c>
      <c r="E1053" s="16">
        <v>19.88</v>
      </c>
      <c r="F1053" s="22">
        <f>-((D1053-C1053)/D1053)</f>
        <v>0.02238858108782765</v>
      </c>
      <c r="G1053" s="21">
        <f>C1053-D1053</f>
        <v>0.7099419062950147</v>
      </c>
      <c r="H1053" s="16">
        <v>1050</v>
      </c>
      <c r="I1053" s="16" t="s">
        <v>212</v>
      </c>
    </row>
    <row r="1054" spans="1:9" ht="12.75">
      <c r="A1054" s="20"/>
      <c r="B1054" s="20" t="s">
        <v>84</v>
      </c>
      <c r="C1054" s="21">
        <f>(4/3)^1.7*E1054</f>
        <v>26.842668198069216</v>
      </c>
      <c r="D1054" s="16">
        <v>26.63</v>
      </c>
      <c r="E1054" s="16">
        <v>16.46</v>
      </c>
      <c r="F1054" s="22">
        <f>-((D1054-C1054)/D1054)</f>
        <v>0.007986038230162107</v>
      </c>
      <c r="G1054" s="21">
        <f>C1054-D1054</f>
        <v>0.21266819806921688</v>
      </c>
      <c r="H1054" s="16">
        <v>1050</v>
      </c>
      <c r="I1054" s="16" t="s">
        <v>212</v>
      </c>
    </row>
    <row r="1055" spans="1:9" ht="12.75">
      <c r="A1055" s="20"/>
      <c r="B1055" s="20" t="s">
        <v>71</v>
      </c>
      <c r="C1055" s="21">
        <f>(4/3)^1.7*E1055</f>
        <v>23.10817790805837</v>
      </c>
      <c r="D1055" s="16">
        <v>23.32</v>
      </c>
      <c r="E1055" s="16">
        <v>14.17</v>
      </c>
      <c r="F1055" s="22">
        <f>-((D1055-C1055)/D1055)</f>
        <v>-0.00908328010041299</v>
      </c>
      <c r="G1055" s="21">
        <f>C1055-D1055</f>
        <v>-0.21182209194163093</v>
      </c>
      <c r="H1055" s="16">
        <v>1050</v>
      </c>
      <c r="I1055" s="16" t="s">
        <v>212</v>
      </c>
    </row>
    <row r="1056" spans="1:9" ht="12.75">
      <c r="A1056" s="20"/>
      <c r="B1056" s="20" t="s">
        <v>50</v>
      </c>
      <c r="C1056" s="21">
        <f>(4/3)^1.7*E1056</f>
        <v>32.48517317773626</v>
      </c>
      <c r="D1056" s="16">
        <v>31.91</v>
      </c>
      <c r="E1056" s="16">
        <v>19.92</v>
      </c>
      <c r="F1056" s="22">
        <f>-((D1056-C1056)/D1056)</f>
        <v>0.018024856713765504</v>
      </c>
      <c r="G1056" s="21">
        <f>C1056-D1056</f>
        <v>0.5751731777362572</v>
      </c>
      <c r="H1056" s="16">
        <v>1050</v>
      </c>
      <c r="I1056" s="16" t="s">
        <v>212</v>
      </c>
    </row>
    <row r="1057" spans="1:9" ht="12.75">
      <c r="A1057" s="20"/>
      <c r="B1057" s="20" t="s">
        <v>51</v>
      </c>
      <c r="C1057" s="21">
        <f>(4/3)^1.7*E1057</f>
        <v>15.91643023166194</v>
      </c>
      <c r="D1057" s="16">
        <v>16.54</v>
      </c>
      <c r="E1057" s="16">
        <v>9.76</v>
      </c>
      <c r="F1057" s="22">
        <f>-((D1057-C1057)/D1057)</f>
        <v>-0.03770071150774242</v>
      </c>
      <c r="G1057" s="21">
        <f>C1057-D1057</f>
        <v>-0.6235697683380597</v>
      </c>
      <c r="H1057" s="16">
        <v>1050</v>
      </c>
      <c r="I1057" s="16" t="s">
        <v>212</v>
      </c>
    </row>
    <row r="1058" spans="1:9" ht="12.75">
      <c r="A1058" s="20"/>
      <c r="B1058" s="20"/>
      <c r="C1058" s="21"/>
      <c r="D1058" s="16"/>
      <c r="E1058" s="16" t="s">
        <v>14</v>
      </c>
      <c r="F1058" s="22">
        <f>AVERAGE(F1053:F1057)</f>
        <v>0.0003230968847199693</v>
      </c>
      <c r="G1058" s="21">
        <f>AVERAGE(G1053:G1057)</f>
        <v>0.13247828436415965</v>
      </c>
      <c r="H1058" s="16"/>
      <c r="I1058" s="16"/>
    </row>
    <row r="1059" spans="1:9" ht="12.75">
      <c r="A1059" s="20"/>
      <c r="B1059" s="20"/>
      <c r="C1059" s="21"/>
      <c r="D1059" s="16"/>
      <c r="E1059" s="16"/>
      <c r="F1059" s="22"/>
      <c r="G1059" s="21"/>
      <c r="H1059" s="16"/>
      <c r="I1059" s="16"/>
    </row>
    <row r="1060" spans="1:9" ht="12.75">
      <c r="A1060" s="23" t="s">
        <v>0</v>
      </c>
      <c r="B1060" s="23" t="s">
        <v>1</v>
      </c>
      <c r="C1060" s="18" t="s">
        <v>74</v>
      </c>
      <c r="D1060" s="18" t="s">
        <v>73</v>
      </c>
      <c r="E1060" s="18" t="s">
        <v>3</v>
      </c>
      <c r="F1060" s="18" t="s">
        <v>5</v>
      </c>
      <c r="G1060" s="18" t="s">
        <v>6</v>
      </c>
      <c r="H1060" s="18" t="s">
        <v>7</v>
      </c>
      <c r="I1060" s="18" t="s">
        <v>8</v>
      </c>
    </row>
    <row r="1061" spans="1:9" ht="12.75">
      <c r="A1061" s="23" t="s">
        <v>216</v>
      </c>
      <c r="B1061" s="23" t="s">
        <v>105</v>
      </c>
      <c r="C1061" s="24">
        <f>(4/3)^2*E1061</f>
        <v>35.34222222222222</v>
      </c>
      <c r="D1061" s="18">
        <v>31.71</v>
      </c>
      <c r="E1061" s="18">
        <v>19.88</v>
      </c>
      <c r="F1061" s="25">
        <f>-((D1061-C1061)/D1061)</f>
        <v>0.11454500858474355</v>
      </c>
      <c r="G1061" s="24">
        <f>C1061-D1061</f>
        <v>3.632222222222218</v>
      </c>
      <c r="H1061" s="18">
        <v>1050</v>
      </c>
      <c r="I1061" s="18" t="s">
        <v>212</v>
      </c>
    </row>
    <row r="1062" spans="1:9" ht="12.75">
      <c r="A1062" s="23"/>
      <c r="B1062" s="23" t="s">
        <v>84</v>
      </c>
      <c r="C1062" s="24">
        <f>(4/3)^2*E1062</f>
        <v>29.26222222222222</v>
      </c>
      <c r="D1062" s="18">
        <v>26.63</v>
      </c>
      <c r="E1062" s="18">
        <v>16.46</v>
      </c>
      <c r="F1062" s="25">
        <f>-((D1062-C1062)/D1062)</f>
        <v>0.09884424416906577</v>
      </c>
      <c r="G1062" s="24">
        <f>C1062-D1062</f>
        <v>2.6322222222222216</v>
      </c>
      <c r="H1062" s="18">
        <v>1050</v>
      </c>
      <c r="I1062" s="18" t="s">
        <v>212</v>
      </c>
    </row>
    <row r="1063" spans="1:9" ht="12.75">
      <c r="A1063" s="23"/>
      <c r="B1063" s="23" t="s">
        <v>71</v>
      </c>
      <c r="C1063" s="24">
        <f>(4/3)^2*E1063</f>
        <v>25.19111111111111</v>
      </c>
      <c r="D1063" s="18">
        <v>23.32</v>
      </c>
      <c r="E1063" s="18">
        <v>14.17</v>
      </c>
      <c r="F1063" s="25">
        <f>-((D1063-C1063)/D1063)</f>
        <v>0.08023632551934429</v>
      </c>
      <c r="G1063" s="24">
        <f>C1063-D1063</f>
        <v>1.8711111111111087</v>
      </c>
      <c r="H1063" s="18">
        <v>1050</v>
      </c>
      <c r="I1063" s="18" t="s">
        <v>212</v>
      </c>
    </row>
    <row r="1064" spans="1:9" ht="12.75">
      <c r="A1064" s="23"/>
      <c r="B1064" s="23" t="s">
        <v>50</v>
      </c>
      <c r="C1064" s="24">
        <f>(4/3)^2*E1064</f>
        <v>35.413333333333334</v>
      </c>
      <c r="D1064" s="18">
        <v>31.91</v>
      </c>
      <c r="E1064" s="18">
        <v>19.92</v>
      </c>
      <c r="F1064" s="25">
        <f>-((D1064-C1064)/D1064)</f>
        <v>0.10978794526271808</v>
      </c>
      <c r="G1064" s="24">
        <f>C1064-D1064</f>
        <v>3.503333333333334</v>
      </c>
      <c r="H1064" s="18">
        <v>1050</v>
      </c>
      <c r="I1064" s="18" t="s">
        <v>212</v>
      </c>
    </row>
    <row r="1065" spans="1:9" ht="12.75">
      <c r="A1065" s="23"/>
      <c r="B1065" s="23" t="s">
        <v>51</v>
      </c>
      <c r="C1065" s="24">
        <f>(4/3)^2*E1065</f>
        <v>17.35111111111111</v>
      </c>
      <c r="D1065" s="18">
        <v>16.54</v>
      </c>
      <c r="E1065" s="18">
        <v>9.76</v>
      </c>
      <c r="F1065" s="25">
        <f>-((D1065-C1065)/D1065)</f>
        <v>0.049039365847104596</v>
      </c>
      <c r="G1065" s="24">
        <f>C1065-D1065</f>
        <v>0.81111111111111</v>
      </c>
      <c r="H1065" s="18">
        <v>1050</v>
      </c>
      <c r="I1065" s="18" t="s">
        <v>212</v>
      </c>
    </row>
    <row r="1066" spans="1:9" ht="12.75">
      <c r="A1066" s="23"/>
      <c r="B1066" s="23"/>
      <c r="C1066" s="24"/>
      <c r="D1066" s="18"/>
      <c r="E1066" s="18" t="s">
        <v>14</v>
      </c>
      <c r="F1066" s="25">
        <f>AVERAGE(F1061:F1065)</f>
        <v>0.09049057787659526</v>
      </c>
      <c r="G1066" s="24">
        <f>AVERAGE(G1061:G1065)</f>
        <v>2.4899999999999984</v>
      </c>
      <c r="H1066" s="18"/>
      <c r="I1066" s="18"/>
    </row>
    <row r="1067" spans="1:9" ht="12.75">
      <c r="A1067" s="20"/>
      <c r="B1067" s="20"/>
      <c r="C1067" s="20"/>
      <c r="D1067" s="16"/>
      <c r="E1067" s="16"/>
      <c r="F1067" s="16"/>
      <c r="G1067" s="16"/>
      <c r="H1067" s="16"/>
      <c r="I1067" s="16"/>
    </row>
    <row r="1068" spans="1:9" ht="12.75">
      <c r="A1068" s="69" t="s">
        <v>0</v>
      </c>
      <c r="B1068" s="69" t="s">
        <v>1</v>
      </c>
      <c r="C1068" s="70" t="s">
        <v>217</v>
      </c>
      <c r="D1068" s="70" t="s">
        <v>218</v>
      </c>
      <c r="E1068" s="70" t="s">
        <v>73</v>
      </c>
      <c r="F1068" s="70" t="s">
        <v>5</v>
      </c>
      <c r="G1068" s="70" t="s">
        <v>6</v>
      </c>
      <c r="H1068" s="70" t="s">
        <v>7</v>
      </c>
      <c r="I1068" s="70" t="s">
        <v>8</v>
      </c>
    </row>
    <row r="1069" spans="1:9" ht="12.75">
      <c r="A1069" s="69" t="s">
        <v>216</v>
      </c>
      <c r="B1069" s="69" t="s">
        <v>71</v>
      </c>
      <c r="C1069" s="71">
        <f>(5/4)^1.81*E1069</f>
        <v>34.924940076364564</v>
      </c>
      <c r="D1069" s="70">
        <v>34.02</v>
      </c>
      <c r="E1069" s="70">
        <v>23.32</v>
      </c>
      <c r="F1069" s="72">
        <f>-((D1069-C1069)/D1069)</f>
        <v>0.026600237400486792</v>
      </c>
      <c r="G1069" s="71">
        <f>C1069-D1069</f>
        <v>0.9049400763645608</v>
      </c>
      <c r="H1069" s="70">
        <v>1050</v>
      </c>
      <c r="I1069" s="70" t="s">
        <v>212</v>
      </c>
    </row>
    <row r="1070" spans="1:9" ht="12.75">
      <c r="A1070" s="20"/>
      <c r="B1070" s="69" t="s">
        <v>52</v>
      </c>
      <c r="C1070" s="71">
        <f>(5/4)^1.81*E1070</f>
        <v>37.800406840799376</v>
      </c>
      <c r="D1070" s="70">
        <v>37.84</v>
      </c>
      <c r="E1070" s="70">
        <v>25.24</v>
      </c>
      <c r="F1070" s="72">
        <f>-((D1070-C1070)/D1070)</f>
        <v>-0.0010463308456825522</v>
      </c>
      <c r="G1070" s="71">
        <f>C1070-D1070</f>
        <v>-0.03959315920062778</v>
      </c>
      <c r="H1070" s="70">
        <v>1050</v>
      </c>
      <c r="I1070" s="70" t="s">
        <v>212</v>
      </c>
    </row>
    <row r="1071" spans="1:9" ht="12.75">
      <c r="A1071" s="20"/>
      <c r="B1071" s="69" t="s">
        <v>51</v>
      </c>
      <c r="C1071" s="71">
        <f>(5/4)^1.81*E1071</f>
        <v>24.77094806445411</v>
      </c>
      <c r="D1071" s="70">
        <v>25.22</v>
      </c>
      <c r="E1071" s="70">
        <v>16.54</v>
      </c>
      <c r="F1071" s="72">
        <f>-((D1071-C1071)/D1071)</f>
        <v>-0.017805389989924213</v>
      </c>
      <c r="G1071" s="71">
        <f>C1071-D1071</f>
        <v>-0.4490519355458886</v>
      </c>
      <c r="H1071" s="70">
        <v>1050</v>
      </c>
      <c r="I1071" s="70" t="s">
        <v>212</v>
      </c>
    </row>
    <row r="1072" spans="1:9" ht="12.75">
      <c r="A1072" s="20"/>
      <c r="B1072" s="69" t="s">
        <v>67</v>
      </c>
      <c r="C1072" s="71">
        <f>(5/4)^1.81*E1072</f>
        <v>21.98533963640788</v>
      </c>
      <c r="D1072" s="70">
        <v>22.16</v>
      </c>
      <c r="E1072" s="70">
        <v>14.68</v>
      </c>
      <c r="F1072" s="72">
        <f>-((D1072-C1072)/D1072)</f>
        <v>-0.007881785360655286</v>
      </c>
      <c r="G1072" s="71">
        <f>C1072-D1072</f>
        <v>-0.17466036359212112</v>
      </c>
      <c r="H1072" s="70">
        <v>1050</v>
      </c>
      <c r="I1072" s="70" t="s">
        <v>212</v>
      </c>
    </row>
    <row r="1073" spans="1:9" ht="12.75">
      <c r="A1073" s="5"/>
      <c r="B1073" s="23"/>
      <c r="C1073" s="24"/>
      <c r="D1073" s="18"/>
      <c r="E1073" s="70" t="s">
        <v>14</v>
      </c>
      <c r="F1073" s="72">
        <f>AVERAGE(F1069:F1072)</f>
        <v>-3.3317198943815136E-05</v>
      </c>
      <c r="G1073" s="71">
        <f>AVERAGE(G1069:G1072)</f>
        <v>0.06040865450648081</v>
      </c>
      <c r="H1073" s="18"/>
      <c r="I1073" s="5"/>
    </row>
    <row r="1074" spans="1:9" ht="12.75">
      <c r="A1074" s="5"/>
      <c r="B1074" s="23"/>
      <c r="C1074" s="24"/>
      <c r="D1074" s="18"/>
      <c r="E1074" s="18"/>
      <c r="F1074" s="25"/>
      <c r="G1074" s="24"/>
      <c r="H1074" s="18"/>
      <c r="I1074" s="5"/>
    </row>
    <row r="1075" spans="1:9" ht="12.75">
      <c r="A1075" s="73" t="s">
        <v>0</v>
      </c>
      <c r="B1075" s="73" t="s">
        <v>1</v>
      </c>
      <c r="C1075" s="74" t="s">
        <v>219</v>
      </c>
      <c r="D1075" s="74" t="s">
        <v>218</v>
      </c>
      <c r="E1075" s="74" t="s">
        <v>73</v>
      </c>
      <c r="F1075" s="74" t="s">
        <v>5</v>
      </c>
      <c r="G1075" s="74" t="s">
        <v>6</v>
      </c>
      <c r="H1075" s="74" t="s">
        <v>7</v>
      </c>
      <c r="I1075" s="74" t="s">
        <v>8</v>
      </c>
    </row>
    <row r="1076" spans="1:9" ht="12.75">
      <c r="A1076" s="73" t="s">
        <v>216</v>
      </c>
      <c r="B1076" s="73" t="s">
        <v>71</v>
      </c>
      <c r="C1076" s="75">
        <f>(5/4)^2*E1076</f>
        <v>36.4375</v>
      </c>
      <c r="D1076" s="74">
        <v>34.02</v>
      </c>
      <c r="E1076" s="74">
        <v>23.32</v>
      </c>
      <c r="F1076" s="76">
        <f>-((D1076-C1076)/D1076)</f>
        <v>0.07106114050558485</v>
      </c>
      <c r="G1076" s="75">
        <f>C1076-D1076</f>
        <v>2.417499999999997</v>
      </c>
      <c r="H1076" s="74">
        <v>1050</v>
      </c>
      <c r="I1076" s="74" t="s">
        <v>212</v>
      </c>
    </row>
    <row r="1077" spans="1:9" ht="12.75">
      <c r="A1077" s="23"/>
      <c r="B1077" s="73" t="s">
        <v>52</v>
      </c>
      <c r="C1077" s="75">
        <f>(5/4)^2*E1077</f>
        <v>39.4375</v>
      </c>
      <c r="D1077" s="74">
        <v>37.84</v>
      </c>
      <c r="E1077" s="74">
        <v>25.24</v>
      </c>
      <c r="F1077" s="76">
        <f>-((D1077-C1077)/D1077)</f>
        <v>0.04221723044397454</v>
      </c>
      <c r="G1077" s="75">
        <f>C1077-D1077</f>
        <v>1.5974999999999966</v>
      </c>
      <c r="H1077" s="74">
        <v>1050</v>
      </c>
      <c r="I1077" s="74" t="s">
        <v>212</v>
      </c>
    </row>
    <row r="1078" spans="1:9" ht="12.75">
      <c r="A1078" s="23"/>
      <c r="B1078" s="73" t="s">
        <v>51</v>
      </c>
      <c r="C1078" s="75">
        <f>(5/4)^2*E1078</f>
        <v>25.84375</v>
      </c>
      <c r="D1078" s="74">
        <v>25.22</v>
      </c>
      <c r="E1078" s="74">
        <v>16.54</v>
      </c>
      <c r="F1078" s="76">
        <f>-((D1078-C1078)/D1078)</f>
        <v>0.024732355273592434</v>
      </c>
      <c r="G1078" s="75">
        <f>C1078-D1078</f>
        <v>0.6237500000000011</v>
      </c>
      <c r="H1078" s="74">
        <v>1050</v>
      </c>
      <c r="I1078" s="74" t="s">
        <v>212</v>
      </c>
    </row>
    <row r="1079" spans="1:9" ht="12.75">
      <c r="A1079" s="23"/>
      <c r="B1079" s="73" t="s">
        <v>67</v>
      </c>
      <c r="C1079" s="75">
        <f>(5/4)^2*E1079</f>
        <v>22.9375</v>
      </c>
      <c r="D1079" s="74">
        <v>22.16</v>
      </c>
      <c r="E1079" s="74">
        <v>14.68</v>
      </c>
      <c r="F1079" s="76">
        <f>-((D1079-C1079)/D1079)</f>
        <v>0.03508574007220216</v>
      </c>
      <c r="G1079" s="75">
        <f>C1079-D1079</f>
        <v>0.7774999999999999</v>
      </c>
      <c r="H1079" s="74">
        <v>1050</v>
      </c>
      <c r="I1079" s="74" t="s">
        <v>212</v>
      </c>
    </row>
    <row r="1080" spans="1:9" ht="12.75">
      <c r="A1080" s="5"/>
      <c r="B1080" s="23"/>
      <c r="C1080" s="24"/>
      <c r="D1080" s="18"/>
      <c r="E1080" s="74" t="s">
        <v>14</v>
      </c>
      <c r="F1080" s="76">
        <f>AVERAGE(F1076:F1079)</f>
        <v>0.04327411657383849</v>
      </c>
      <c r="G1080" s="75">
        <f>AVERAGE(G1076:G1079)</f>
        <v>1.3540624999999986</v>
      </c>
      <c r="H1080" s="18"/>
      <c r="I1080" s="5"/>
    </row>
    <row r="1081" spans="1:9" ht="12.75">
      <c r="A1081" s="5"/>
      <c r="B1081" s="23"/>
      <c r="C1081" s="24"/>
      <c r="D1081" s="18"/>
      <c r="E1081" s="74"/>
      <c r="F1081" s="76"/>
      <c r="G1081" s="75"/>
      <c r="H1081" s="18"/>
      <c r="I1081" s="5"/>
    </row>
    <row r="1082" spans="1:9" ht="12.75">
      <c r="A1082" s="20" t="s">
        <v>0</v>
      </c>
      <c r="B1082" s="20" t="s">
        <v>1</v>
      </c>
      <c r="C1082" s="16" t="s">
        <v>180</v>
      </c>
      <c r="D1082" s="16" t="s">
        <v>73</v>
      </c>
      <c r="E1082" s="16" t="s">
        <v>3</v>
      </c>
      <c r="F1082" s="16" t="s">
        <v>5</v>
      </c>
      <c r="G1082" s="16" t="s">
        <v>6</v>
      </c>
      <c r="H1082" s="16" t="s">
        <v>7</v>
      </c>
      <c r="I1082" s="16" t="s">
        <v>8</v>
      </c>
    </row>
    <row r="1083" spans="1:9" ht="12.75">
      <c r="A1083" s="20" t="s">
        <v>220</v>
      </c>
      <c r="B1083" s="20" t="s">
        <v>96</v>
      </c>
      <c r="C1083" s="21">
        <f>(4/3)^1.58*E1083</f>
        <v>26.451718968854287</v>
      </c>
      <c r="D1083" s="16">
        <v>26.29</v>
      </c>
      <c r="E1083" s="16">
        <v>16.79</v>
      </c>
      <c r="F1083" s="22">
        <f>-((D1083-C1083)/D1083)</f>
        <v>0.006151349138618788</v>
      </c>
      <c r="G1083" s="21">
        <f>C1083-D1083</f>
        <v>0.16171896885428794</v>
      </c>
      <c r="H1083" s="16">
        <v>850</v>
      </c>
      <c r="I1083" s="16" t="s">
        <v>212</v>
      </c>
    </row>
    <row r="1084" spans="2:9" ht="12.75">
      <c r="B1084" s="20" t="s">
        <v>97</v>
      </c>
      <c r="C1084" s="21">
        <f>(4/3)^1.58*E1084</f>
        <v>27.680565948944007</v>
      </c>
      <c r="D1084" s="16">
        <v>27.28</v>
      </c>
      <c r="E1084" s="16">
        <v>17.57</v>
      </c>
      <c r="F1084" s="22">
        <f>-((D1084-C1084)/D1084)</f>
        <v>0.014683502527272959</v>
      </c>
      <c r="G1084" s="21">
        <f>C1084-D1084</f>
        <v>0.4005659489440063</v>
      </c>
      <c r="H1084" s="16">
        <v>850</v>
      </c>
      <c r="I1084" s="16" t="s">
        <v>212</v>
      </c>
    </row>
    <row r="1085" spans="2:9" ht="12.75">
      <c r="B1085" s="20" t="s">
        <v>98</v>
      </c>
      <c r="C1085" s="21">
        <f>(4/3)^1.58*E1085</f>
        <v>23.537146003256883</v>
      </c>
      <c r="D1085" s="16">
        <v>23.77</v>
      </c>
      <c r="E1085" s="16">
        <v>14.94</v>
      </c>
      <c r="F1085" s="22">
        <f>-((D1085-C1085)/D1085)</f>
        <v>-0.00979612943807812</v>
      </c>
      <c r="G1085" s="21">
        <f>C1085-D1085</f>
        <v>-0.2328539967431169</v>
      </c>
      <c r="H1085" s="16">
        <v>850</v>
      </c>
      <c r="I1085" s="16" t="s">
        <v>212</v>
      </c>
    </row>
    <row r="1086" spans="2:9" ht="12.75">
      <c r="B1086" s="20" t="s">
        <v>103</v>
      </c>
      <c r="C1086" s="21">
        <f>(4/3)^1.58*E1086</f>
        <v>21.93019226006264</v>
      </c>
      <c r="D1086" s="16">
        <v>21.84</v>
      </c>
      <c r="E1086" s="16">
        <v>13.92</v>
      </c>
      <c r="F1086" s="22">
        <f>-((D1086-C1086)/D1086)</f>
        <v>0.0041296822373003625</v>
      </c>
      <c r="G1086" s="21">
        <f>C1086-D1086</f>
        <v>0.09019226006263992</v>
      </c>
      <c r="H1086" s="16">
        <v>850</v>
      </c>
      <c r="I1086" s="16" t="s">
        <v>212</v>
      </c>
    </row>
    <row r="1087" spans="2:9" ht="12.75">
      <c r="B1087" s="20" t="s">
        <v>104</v>
      </c>
      <c r="C1087" s="21">
        <f>(4/3)^1.58*E1087</f>
        <v>19.220427124480185</v>
      </c>
      <c r="D1087" s="16">
        <v>19.32</v>
      </c>
      <c r="E1087" s="16">
        <v>12.2</v>
      </c>
      <c r="F1087" s="22">
        <f>-((D1087-C1087)/D1087)</f>
        <v>-0.005153875544503886</v>
      </c>
      <c r="G1087" s="21">
        <f>C1087-D1087</f>
        <v>-0.09957287551981508</v>
      </c>
      <c r="H1087" s="16">
        <v>850</v>
      </c>
      <c r="I1087" s="16" t="s">
        <v>212</v>
      </c>
    </row>
    <row r="1088" spans="2:9" ht="12.75">
      <c r="B1088" s="20" t="s">
        <v>105</v>
      </c>
      <c r="C1088" s="21">
        <f>(4/3)^1.58*E1088</f>
        <v>17.329893308957544</v>
      </c>
      <c r="D1088" s="16">
        <v>17.75</v>
      </c>
      <c r="E1088" s="16">
        <v>11</v>
      </c>
      <c r="F1088" s="22">
        <f>-((D1088-C1088)/D1088)</f>
        <v>-0.02366798259394117</v>
      </c>
      <c r="G1088" s="21">
        <f>C1088-D1088</f>
        <v>-0.4201066910424558</v>
      </c>
      <c r="H1088" s="16">
        <v>850</v>
      </c>
      <c r="I1088" s="16" t="s">
        <v>212</v>
      </c>
    </row>
    <row r="1089" spans="2:9" ht="12.75">
      <c r="B1089" s="20" t="s">
        <v>107</v>
      </c>
      <c r="C1089" s="21">
        <f>(4/3)^1.58*E1089</f>
        <v>25.90031327266019</v>
      </c>
      <c r="D1089" s="16">
        <v>24.63</v>
      </c>
      <c r="E1089" s="16">
        <v>16.44</v>
      </c>
      <c r="F1089" s="22">
        <f>-((D1089-C1089)/D1089)</f>
        <v>0.051575853538781545</v>
      </c>
      <c r="G1089" s="21">
        <f>C1089-D1089</f>
        <v>1.2703132726601893</v>
      </c>
      <c r="H1089" s="16">
        <v>850</v>
      </c>
      <c r="I1089" s="16" t="s">
        <v>212</v>
      </c>
    </row>
    <row r="1090" spans="2:9" ht="12.75">
      <c r="B1090" s="20" t="s">
        <v>83</v>
      </c>
      <c r="C1090" s="21">
        <f>(4/3)^1.58*E1090</f>
        <v>20.843135316137122</v>
      </c>
      <c r="D1090" s="16">
        <v>21.4</v>
      </c>
      <c r="E1090" s="16">
        <v>13.23</v>
      </c>
      <c r="F1090" s="22">
        <f>-((D1090-C1090)/D1090)</f>
        <v>-0.026021714199199842</v>
      </c>
      <c r="G1090" s="21">
        <f>C1090-D1090</f>
        <v>-0.5568646838628766</v>
      </c>
      <c r="H1090" s="16">
        <v>850</v>
      </c>
      <c r="I1090" s="16" t="s">
        <v>212</v>
      </c>
    </row>
    <row r="1091" spans="2:9" ht="12.75">
      <c r="B1091" s="20"/>
      <c r="C1091" s="21"/>
      <c r="D1091" s="16"/>
      <c r="E1091" s="16" t="s">
        <v>14</v>
      </c>
      <c r="F1091" s="22">
        <f>AVERAGE(F1083:F1090)</f>
        <v>0.001487585708281329</v>
      </c>
      <c r="G1091" s="21">
        <f>AVERAGE(G1083:G1090)</f>
        <v>0.0766740254191074</v>
      </c>
      <c r="H1091" s="16"/>
      <c r="I1091" s="16"/>
    </row>
    <row r="1092" spans="2:9" ht="12.75">
      <c r="B1092" s="20"/>
      <c r="C1092" s="21"/>
      <c r="D1092" s="16"/>
      <c r="E1092" s="16"/>
      <c r="F1092" s="22"/>
      <c r="G1092" s="21"/>
      <c r="H1092" s="16"/>
      <c r="I1092" s="16"/>
    </row>
    <row r="1093" spans="1:9" ht="12.75">
      <c r="A1093" s="23" t="s">
        <v>0</v>
      </c>
      <c r="B1093" s="23" t="s">
        <v>1</v>
      </c>
      <c r="C1093" s="18" t="s">
        <v>74</v>
      </c>
      <c r="D1093" s="18" t="s">
        <v>73</v>
      </c>
      <c r="E1093" s="18" t="s">
        <v>3</v>
      </c>
      <c r="F1093" s="18" t="s">
        <v>5</v>
      </c>
      <c r="G1093" s="18" t="s">
        <v>6</v>
      </c>
      <c r="H1093" s="18" t="s">
        <v>7</v>
      </c>
      <c r="I1093" s="18" t="s">
        <v>8</v>
      </c>
    </row>
    <row r="1094" spans="1:9" ht="12.75">
      <c r="A1094" s="23" t="s">
        <v>220</v>
      </c>
      <c r="B1094" s="23" t="s">
        <v>96</v>
      </c>
      <c r="C1094" s="24">
        <f>(4/3)^2*E1094</f>
        <v>29.848888888888887</v>
      </c>
      <c r="D1094" s="18">
        <v>26.29</v>
      </c>
      <c r="E1094" s="18">
        <v>16.79</v>
      </c>
      <c r="F1094" s="25">
        <f>-((D1094-C1094)/D1094)</f>
        <v>0.13537044080977131</v>
      </c>
      <c r="G1094" s="24">
        <f>C1094-D1094</f>
        <v>3.5588888888888874</v>
      </c>
      <c r="H1094" s="18">
        <v>850</v>
      </c>
      <c r="I1094" s="18" t="s">
        <v>212</v>
      </c>
    </row>
    <row r="1095" spans="1:9" ht="12.75">
      <c r="A1095" s="5"/>
      <c r="B1095" s="23" t="s">
        <v>97</v>
      </c>
      <c r="C1095" s="24">
        <f>(4/3)^2*E1095</f>
        <v>31.235555555555553</v>
      </c>
      <c r="D1095" s="18">
        <v>27.28</v>
      </c>
      <c r="E1095" s="18">
        <v>17.57</v>
      </c>
      <c r="F1095" s="25">
        <f>-((D1095-C1095)/D1095)</f>
        <v>0.14499837080482228</v>
      </c>
      <c r="G1095" s="24">
        <f>C1095-D1095</f>
        <v>3.955555555555552</v>
      </c>
      <c r="H1095" s="18">
        <v>850</v>
      </c>
      <c r="I1095" s="18" t="s">
        <v>212</v>
      </c>
    </row>
    <row r="1096" spans="1:9" ht="12.75">
      <c r="A1096" s="5"/>
      <c r="B1096" s="23" t="s">
        <v>98</v>
      </c>
      <c r="C1096" s="24">
        <f>(4/3)^2*E1096</f>
        <v>26.56</v>
      </c>
      <c r="D1096" s="18">
        <v>23.77</v>
      </c>
      <c r="E1096" s="18">
        <v>14.94</v>
      </c>
      <c r="F1096" s="25">
        <f>-((D1096-C1096)/D1096)</f>
        <v>0.11737484223811524</v>
      </c>
      <c r="G1096" s="24">
        <f>C1096-D1096</f>
        <v>2.789999999999999</v>
      </c>
      <c r="H1096" s="18">
        <v>850</v>
      </c>
      <c r="I1096" s="18" t="s">
        <v>212</v>
      </c>
    </row>
    <row r="1097" spans="1:9" ht="12.75">
      <c r="A1097" s="5"/>
      <c r="B1097" s="23" t="s">
        <v>103</v>
      </c>
      <c r="C1097" s="24">
        <f>(4/3)^2*E1097</f>
        <v>24.746666666666666</v>
      </c>
      <c r="D1097" s="18">
        <v>21.84</v>
      </c>
      <c r="E1097" s="18">
        <v>13.92</v>
      </c>
      <c r="F1097" s="25">
        <f>-((D1097-C1097)/D1097)</f>
        <v>0.13308913308913306</v>
      </c>
      <c r="G1097" s="24">
        <f>C1097-D1097</f>
        <v>2.9066666666666663</v>
      </c>
      <c r="H1097" s="18">
        <v>850</v>
      </c>
      <c r="I1097" s="18" t="s">
        <v>212</v>
      </c>
    </row>
    <row r="1098" spans="1:9" ht="12.75">
      <c r="A1098" s="5"/>
      <c r="B1098" s="23" t="s">
        <v>104</v>
      </c>
      <c r="C1098" s="24">
        <f>(4/3)^2*E1098</f>
        <v>21.688888888888886</v>
      </c>
      <c r="D1098" s="18">
        <v>19.32</v>
      </c>
      <c r="E1098" s="18">
        <v>12.2</v>
      </c>
      <c r="F1098" s="25">
        <f>-((D1098-C1098)/D1098)</f>
        <v>0.12261329652633986</v>
      </c>
      <c r="G1098" s="24">
        <f>C1098-D1098</f>
        <v>2.368888888888886</v>
      </c>
      <c r="H1098" s="18">
        <v>850</v>
      </c>
      <c r="I1098" s="18" t="s">
        <v>212</v>
      </c>
    </row>
    <row r="1099" spans="1:9" ht="12.75">
      <c r="A1099" s="5"/>
      <c r="B1099" s="23" t="s">
        <v>105</v>
      </c>
      <c r="C1099" s="24">
        <f>(4/3)^2*E1099</f>
        <v>19.555555555555554</v>
      </c>
      <c r="D1099" s="18">
        <v>17.75</v>
      </c>
      <c r="E1099" s="18">
        <v>11</v>
      </c>
      <c r="F1099" s="25">
        <f>-((D1099-C1099)/D1099)</f>
        <v>0.10172143974960865</v>
      </c>
      <c r="G1099" s="24">
        <f>C1099-D1099</f>
        <v>1.8055555555555536</v>
      </c>
      <c r="H1099" s="18">
        <v>850</v>
      </c>
      <c r="I1099" s="18" t="s">
        <v>212</v>
      </c>
    </row>
    <row r="1100" spans="1:9" ht="12.75">
      <c r="A1100" s="5"/>
      <c r="B1100" s="23" t="s">
        <v>107</v>
      </c>
      <c r="C1100" s="24">
        <f>(4/3)^2*E1100</f>
        <v>29.226666666666667</v>
      </c>
      <c r="D1100" s="18">
        <v>24.63</v>
      </c>
      <c r="E1100" s="18">
        <v>16.44</v>
      </c>
      <c r="F1100" s="25">
        <f>-((D1100-C1100)/D1100)</f>
        <v>0.1866287724996617</v>
      </c>
      <c r="G1100" s="24">
        <f>C1100-D1100</f>
        <v>4.596666666666668</v>
      </c>
      <c r="H1100" s="18">
        <v>850</v>
      </c>
      <c r="I1100" s="18" t="s">
        <v>212</v>
      </c>
    </row>
    <row r="1101" spans="1:9" ht="12.75">
      <c r="A1101" s="5"/>
      <c r="B1101" s="23" t="s">
        <v>83</v>
      </c>
      <c r="C1101" s="24">
        <f>(4/3)^2*E1101</f>
        <v>23.52</v>
      </c>
      <c r="D1101" s="18">
        <v>21.4</v>
      </c>
      <c r="E1101" s="18">
        <v>13.23</v>
      </c>
      <c r="F1101" s="25">
        <f>-((D1101-C1101)/D1101)</f>
        <v>0.09906542056074771</v>
      </c>
      <c r="G1101" s="24">
        <f>C1101-D1101</f>
        <v>2.120000000000001</v>
      </c>
      <c r="H1101" s="18">
        <v>850</v>
      </c>
      <c r="I1101" s="18" t="s">
        <v>212</v>
      </c>
    </row>
    <row r="1102" spans="1:9" ht="12.75">
      <c r="A1102" s="5"/>
      <c r="B1102" s="23"/>
      <c r="C1102" s="24"/>
      <c r="D1102" s="18"/>
      <c r="E1102" s="18" t="s">
        <v>14</v>
      </c>
      <c r="F1102" s="25">
        <f>AVERAGE(F1094:F1101)</f>
        <v>0.130107714534775</v>
      </c>
      <c r="G1102" s="24">
        <f>AVERAGE(G1094:G1101)</f>
        <v>3.0127777777777767</v>
      </c>
      <c r="H1102" s="18"/>
      <c r="I1102" s="18"/>
    </row>
    <row r="1103" spans="2:9" ht="12.75">
      <c r="B1103" s="20"/>
      <c r="C1103" s="21"/>
      <c r="D1103" s="16"/>
      <c r="E1103" s="16"/>
      <c r="F1103" s="22"/>
      <c r="G1103" s="21"/>
      <c r="H1103" s="16"/>
      <c r="I1103" s="16"/>
    </row>
    <row r="1104" spans="1:9" ht="12.75">
      <c r="A1104" s="69" t="s">
        <v>0</v>
      </c>
      <c r="B1104" s="69" t="s">
        <v>1</v>
      </c>
      <c r="C1104" s="70" t="s">
        <v>221</v>
      </c>
      <c r="D1104" s="70" t="s">
        <v>218</v>
      </c>
      <c r="E1104" s="70" t="s">
        <v>73</v>
      </c>
      <c r="F1104" s="70" t="s">
        <v>5</v>
      </c>
      <c r="G1104" s="70" t="s">
        <v>6</v>
      </c>
      <c r="H1104" s="70" t="s">
        <v>7</v>
      </c>
      <c r="I1104" s="70" t="s">
        <v>8</v>
      </c>
    </row>
    <row r="1105" spans="1:9" ht="12.75">
      <c r="A1105" s="69" t="s">
        <v>220</v>
      </c>
      <c r="B1105" s="69" t="s">
        <v>105</v>
      </c>
      <c r="C1105" s="71">
        <f>(5/4)^1.72*E1105</f>
        <v>26.054550185690864</v>
      </c>
      <c r="D1105" s="70">
        <v>25.88</v>
      </c>
      <c r="E1105" s="70">
        <v>17.75</v>
      </c>
      <c r="F1105" s="72">
        <f>-((D1105-C1105)/D1105)</f>
        <v>0.0067445975923827416</v>
      </c>
      <c r="G1105" s="71">
        <f>C1105-D1105</f>
        <v>0.17455018569086533</v>
      </c>
      <c r="H1105" s="70">
        <v>850</v>
      </c>
      <c r="I1105" s="70" t="s">
        <v>212</v>
      </c>
    </row>
    <row r="1106" spans="2:9" ht="12.75">
      <c r="B1106" s="69" t="s">
        <v>84</v>
      </c>
      <c r="C1106" s="71">
        <f>(5/4)^1.72*E1106</f>
        <v>21.70967871810523</v>
      </c>
      <c r="D1106" s="70">
        <v>21.34</v>
      </c>
      <c r="E1106" s="70">
        <v>14.79</v>
      </c>
      <c r="F1106" s="72">
        <f>-((D1106-C1106)/D1106)</f>
        <v>0.017323276387311657</v>
      </c>
      <c r="G1106" s="71">
        <f>C1106-D1106</f>
        <v>0.3696787181052308</v>
      </c>
      <c r="H1106" s="70">
        <v>850</v>
      </c>
      <c r="I1106" s="70" t="s">
        <v>212</v>
      </c>
    </row>
    <row r="1107" spans="2:9" ht="12.75">
      <c r="B1107" s="69" t="s">
        <v>71</v>
      </c>
      <c r="C1107" s="71">
        <f>(5/4)^1.72*E1107</f>
        <v>18.641847175114027</v>
      </c>
      <c r="D1107" s="70">
        <v>18.46</v>
      </c>
      <c r="E1107" s="70">
        <v>12.7</v>
      </c>
      <c r="F1107" s="72">
        <f>-((D1107-C1107)/D1107)</f>
        <v>0.009850876225028483</v>
      </c>
      <c r="G1107" s="71">
        <f>C1107-D1107</f>
        <v>0.18184717511402582</v>
      </c>
      <c r="H1107" s="70">
        <v>850</v>
      </c>
      <c r="I1107" s="70" t="s">
        <v>212</v>
      </c>
    </row>
    <row r="1108" spans="2:9" ht="12.75">
      <c r="B1108" s="69" t="s">
        <v>50</v>
      </c>
      <c r="C1108" s="71">
        <f>(5/4)^1.72*E1108</f>
        <v>26.23069362356596</v>
      </c>
      <c r="D1108" s="70">
        <v>25.97</v>
      </c>
      <c r="E1108" s="70">
        <v>17.87</v>
      </c>
      <c r="F1108" s="72">
        <f>-((D1108-C1108)/D1108)</f>
        <v>0.010038260437657282</v>
      </c>
      <c r="G1108" s="71">
        <f>C1108-D1108</f>
        <v>0.2606936235659596</v>
      </c>
      <c r="H1108" s="70">
        <v>850</v>
      </c>
      <c r="I1108" s="70" t="s">
        <v>212</v>
      </c>
    </row>
    <row r="1109" spans="2:9" ht="12.75">
      <c r="B1109" s="69" t="s">
        <v>52</v>
      </c>
      <c r="C1109" s="71">
        <f>(5/4)^1.72*E1109</f>
        <v>19.698707802364584</v>
      </c>
      <c r="D1109" s="70">
        <v>20.29</v>
      </c>
      <c r="E1109" s="70">
        <v>13.42</v>
      </c>
      <c r="F1109" s="72">
        <f>-((D1109-C1109)/D1109)</f>
        <v>-0.029142050154530058</v>
      </c>
      <c r="G1109" s="71">
        <f>C1109-D1109</f>
        <v>-0.5912921976354149</v>
      </c>
      <c r="H1109" s="70">
        <v>850</v>
      </c>
      <c r="I1109" s="70" t="s">
        <v>212</v>
      </c>
    </row>
    <row r="1110" spans="2:9" ht="12.75">
      <c r="B1110" s="69" t="s">
        <v>51</v>
      </c>
      <c r="C1110" s="71">
        <f>(5/4)^1.72*E1110</f>
        <v>12.873149584704725</v>
      </c>
      <c r="D1110" s="70">
        <v>13.03</v>
      </c>
      <c r="E1110" s="70">
        <v>8.77</v>
      </c>
      <c r="F1110" s="72">
        <f>-((D1110-C1110)/D1110)</f>
        <v>-0.012037637397948896</v>
      </c>
      <c r="G1110" s="71">
        <f>C1110-D1110</f>
        <v>-0.1568504152952741</v>
      </c>
      <c r="H1110" s="70">
        <v>850</v>
      </c>
      <c r="I1110" s="70" t="s">
        <v>212</v>
      </c>
    </row>
    <row r="1111" spans="1:9" ht="12.75">
      <c r="A1111" s="5"/>
      <c r="B1111" s="23"/>
      <c r="C1111" s="24"/>
      <c r="D1111" s="18"/>
      <c r="E1111" s="70" t="s">
        <v>14</v>
      </c>
      <c r="F1111" s="72">
        <f>AVERAGE(F1105:F1110)</f>
        <v>0.0004628871816502016</v>
      </c>
      <c r="G1111" s="71">
        <f>AVERAGE(G1105:G1110)</f>
        <v>0.03977118159089876</v>
      </c>
      <c r="H1111" s="18"/>
      <c r="I1111" s="5"/>
    </row>
    <row r="1112" spans="1:9" ht="12.75">
      <c r="A1112" s="5"/>
      <c r="B1112" s="23"/>
      <c r="C1112" s="24"/>
      <c r="D1112" s="18"/>
      <c r="E1112" s="74"/>
      <c r="F1112" s="76"/>
      <c r="G1112" s="75"/>
      <c r="H1112" s="18"/>
      <c r="I1112" s="5"/>
    </row>
    <row r="1113" spans="1:9" ht="12.75">
      <c r="A1113" s="73" t="s">
        <v>0</v>
      </c>
      <c r="B1113" s="73" t="s">
        <v>1</v>
      </c>
      <c r="C1113" s="74" t="s">
        <v>219</v>
      </c>
      <c r="D1113" s="74" t="s">
        <v>218</v>
      </c>
      <c r="E1113" s="74" t="s">
        <v>73</v>
      </c>
      <c r="F1113" s="74" t="s">
        <v>5</v>
      </c>
      <c r="G1113" s="74" t="s">
        <v>6</v>
      </c>
      <c r="H1113" s="74" t="s">
        <v>7</v>
      </c>
      <c r="I1113" s="74" t="s">
        <v>8</v>
      </c>
    </row>
    <row r="1114" spans="1:9" ht="12.75">
      <c r="A1114" s="73" t="s">
        <v>220</v>
      </c>
      <c r="B1114" s="73" t="s">
        <v>105</v>
      </c>
      <c r="C1114" s="75">
        <f>(5/4)^2*E1114</f>
        <v>27.734375</v>
      </c>
      <c r="D1114" s="74">
        <v>25.88</v>
      </c>
      <c r="E1114" s="74">
        <v>17.75</v>
      </c>
      <c r="F1114" s="76">
        <f>-((D1114-C1114)/D1114)</f>
        <v>0.07165282071097377</v>
      </c>
      <c r="G1114" s="75">
        <f>C1114-D1114</f>
        <v>1.854375000000001</v>
      </c>
      <c r="H1114" s="74">
        <v>850</v>
      </c>
      <c r="I1114" s="74" t="s">
        <v>212</v>
      </c>
    </row>
    <row r="1115" spans="1:9" ht="12.75">
      <c r="A1115" s="5"/>
      <c r="B1115" s="73" t="s">
        <v>84</v>
      </c>
      <c r="C1115" s="75">
        <f>(5/4)^2*E1115</f>
        <v>23.109375</v>
      </c>
      <c r="D1115" s="74">
        <v>21.34</v>
      </c>
      <c r="E1115" s="74">
        <v>14.79</v>
      </c>
      <c r="F1115" s="76">
        <f>-((D1115-C1115)/D1115)</f>
        <v>0.0829135426429241</v>
      </c>
      <c r="G1115" s="75">
        <f>C1115-D1115</f>
        <v>1.7693750000000001</v>
      </c>
      <c r="H1115" s="74">
        <v>850</v>
      </c>
      <c r="I1115" s="74" t="s">
        <v>212</v>
      </c>
    </row>
    <row r="1116" spans="1:9" ht="12.75">
      <c r="A1116" s="5"/>
      <c r="B1116" s="73" t="s">
        <v>71</v>
      </c>
      <c r="C1116" s="75">
        <f>(5/4)^2*E1116</f>
        <v>19.84375</v>
      </c>
      <c r="D1116" s="74">
        <v>18.46</v>
      </c>
      <c r="E1116" s="74">
        <v>12.7</v>
      </c>
      <c r="F1116" s="76">
        <f>-((D1116-C1116)/D1116)</f>
        <v>0.07495937161430115</v>
      </c>
      <c r="G1116" s="75">
        <f>C1116-D1116</f>
        <v>1.3837499999999991</v>
      </c>
      <c r="H1116" s="74">
        <v>850</v>
      </c>
      <c r="I1116" s="74" t="s">
        <v>212</v>
      </c>
    </row>
    <row r="1117" spans="1:9" ht="12.75">
      <c r="A1117" s="5"/>
      <c r="B1117" s="73" t="s">
        <v>50</v>
      </c>
      <c r="C1117" s="75">
        <f>(5/4)^2*E1117</f>
        <v>27.921875</v>
      </c>
      <c r="D1117" s="74">
        <v>25.97</v>
      </c>
      <c r="E1117" s="74">
        <v>17.87</v>
      </c>
      <c r="F1117" s="76">
        <f>-((D1117-C1117)/D1117)</f>
        <v>0.0751588371197536</v>
      </c>
      <c r="G1117" s="75">
        <f>C1117-D1117</f>
        <v>1.9518750000000011</v>
      </c>
      <c r="H1117" s="74">
        <v>850</v>
      </c>
      <c r="I1117" s="74" t="s">
        <v>212</v>
      </c>
    </row>
    <row r="1118" spans="1:9" ht="12.75">
      <c r="A1118" s="5"/>
      <c r="B1118" s="73" t="s">
        <v>52</v>
      </c>
      <c r="C1118" s="75">
        <f>(5/4)^2*E1118</f>
        <v>20.96875</v>
      </c>
      <c r="D1118" s="74">
        <v>20.29</v>
      </c>
      <c r="E1118" s="74">
        <v>13.42</v>
      </c>
      <c r="F1118" s="76">
        <f>-((D1118-C1118)/D1118)</f>
        <v>0.03345243962543129</v>
      </c>
      <c r="G1118" s="75">
        <f>C1118-D1118</f>
        <v>0.6787500000000009</v>
      </c>
      <c r="H1118" s="74">
        <v>850</v>
      </c>
      <c r="I1118" s="74" t="s">
        <v>212</v>
      </c>
    </row>
    <row r="1119" spans="1:9" ht="12.75">
      <c r="A1119" s="5"/>
      <c r="B1119" s="73" t="s">
        <v>51</v>
      </c>
      <c r="C1119" s="75">
        <f>(5/4)^2*E1119</f>
        <v>13.703125</v>
      </c>
      <c r="D1119" s="74">
        <v>13.03</v>
      </c>
      <c r="E1119" s="74">
        <v>8.77</v>
      </c>
      <c r="F1119" s="76">
        <f>-((D1119-C1119)/D1119)</f>
        <v>0.051659631619340035</v>
      </c>
      <c r="G1119" s="75">
        <f>C1119-D1119</f>
        <v>0.6731250000000006</v>
      </c>
      <c r="H1119" s="74">
        <v>850</v>
      </c>
      <c r="I1119" s="74" t="s">
        <v>212</v>
      </c>
    </row>
    <row r="1120" spans="1:9" ht="12.75">
      <c r="A1120" s="5"/>
      <c r="B1120" s="23"/>
      <c r="C1120" s="24"/>
      <c r="D1120" s="18"/>
      <c r="E1120" s="74" t="s">
        <v>14</v>
      </c>
      <c r="F1120" s="76">
        <f>AVERAGE(F1114:F1119)</f>
        <v>0.06496610722212066</v>
      </c>
      <c r="G1120" s="75">
        <f>AVERAGE(G1114:G1119)</f>
        <v>1.3852083333333338</v>
      </c>
      <c r="H1120" s="18"/>
      <c r="I1120" s="5"/>
    </row>
    <row r="1121" spans="1:9" ht="12.75">
      <c r="A1121" s="5"/>
      <c r="B1121" s="23"/>
      <c r="C1121" s="24"/>
      <c r="D1121" s="18"/>
      <c r="E1121" s="74"/>
      <c r="F1121" s="76"/>
      <c r="G1121" s="75"/>
      <c r="H1121" s="18"/>
      <c r="I1121" s="5"/>
    </row>
    <row r="1122" spans="1:9" ht="12.75">
      <c r="A1122" s="20" t="s">
        <v>0</v>
      </c>
      <c r="B1122" s="20" t="s">
        <v>1</v>
      </c>
      <c r="C1122" s="16" t="s">
        <v>222</v>
      </c>
      <c r="D1122" s="16" t="s">
        <v>73</v>
      </c>
      <c r="E1122" s="16" t="s">
        <v>3</v>
      </c>
      <c r="F1122" s="16" t="s">
        <v>5</v>
      </c>
      <c r="G1122" s="16" t="s">
        <v>6</v>
      </c>
      <c r="H1122" s="16" t="s">
        <v>7</v>
      </c>
      <c r="I1122" s="16" t="s">
        <v>8</v>
      </c>
    </row>
    <row r="1123" spans="1:9" ht="12.75">
      <c r="A1123" s="20" t="s">
        <v>223</v>
      </c>
      <c r="B1123" s="20" t="s">
        <v>71</v>
      </c>
      <c r="C1123" s="21">
        <f>(4/3)^1.82*E1123</f>
        <v>48.514913839176124</v>
      </c>
      <c r="D1123" s="16">
        <v>47.9</v>
      </c>
      <c r="E1123" s="16">
        <v>28.74</v>
      </c>
      <c r="F1123" s="22">
        <f>-((D1123-C1123)/D1123)</f>
        <v>0.012837449669647715</v>
      </c>
      <c r="G1123" s="21">
        <f>C1123-D1123</f>
        <v>0.6149138391761255</v>
      </c>
      <c r="H1123" s="16">
        <v>1220</v>
      </c>
      <c r="I1123" s="16" t="s">
        <v>224</v>
      </c>
    </row>
    <row r="1124" spans="2:9" ht="12.75">
      <c r="B1124" s="15" t="s">
        <v>52</v>
      </c>
      <c r="C1124" s="21">
        <f>(4/3)^1.82*E1124</f>
        <v>53.19084673181767</v>
      </c>
      <c r="D1124" s="16">
        <v>54.45</v>
      </c>
      <c r="E1124" s="16">
        <v>31.51</v>
      </c>
      <c r="F1124" s="22">
        <f>-((D1124-C1124)/D1124)</f>
        <v>-0.02312494523750837</v>
      </c>
      <c r="G1124" s="21">
        <f>C1124-D1124</f>
        <v>-1.259153268182331</v>
      </c>
      <c r="H1124" s="16">
        <v>1220</v>
      </c>
      <c r="I1124" s="16" t="s">
        <v>224</v>
      </c>
    </row>
    <row r="1125" spans="2:9" ht="12.75">
      <c r="B1125" s="15" t="s">
        <v>51</v>
      </c>
      <c r="C1125" s="21">
        <f>(4/3)^1.82*E1125</f>
        <v>33.7106064498381</v>
      </c>
      <c r="D1125" s="16">
        <v>34.12</v>
      </c>
      <c r="E1125" s="16">
        <v>19.97</v>
      </c>
      <c r="F1125" s="22">
        <f>-((D1125-C1125)/D1125)</f>
        <v>-0.011998638633115311</v>
      </c>
      <c r="G1125" s="21">
        <f>C1125-D1125</f>
        <v>-0.4093935501618944</v>
      </c>
      <c r="H1125" s="16">
        <v>1220</v>
      </c>
      <c r="I1125" s="16" t="s">
        <v>224</v>
      </c>
    </row>
    <row r="1126" spans="2:9" ht="12.75">
      <c r="B1126" s="15" t="s">
        <v>67</v>
      </c>
      <c r="C1126" s="21">
        <f>(4/3)^1.82*E1126</f>
        <v>30.131914127672022</v>
      </c>
      <c r="D1126" s="16">
        <v>29.2</v>
      </c>
      <c r="E1126" s="16">
        <v>17.85</v>
      </c>
      <c r="F1126" s="22">
        <f>-((D1126-C1126)/D1126)</f>
        <v>0.03191486738602819</v>
      </c>
      <c r="G1126" s="21">
        <f>C1126-D1126</f>
        <v>0.9319141276720231</v>
      </c>
      <c r="H1126" s="16">
        <v>1220</v>
      </c>
      <c r="I1126" s="16" t="s">
        <v>224</v>
      </c>
    </row>
    <row r="1127" spans="1:9" ht="12.75">
      <c r="A1127" s="5"/>
      <c r="B1127" s="23"/>
      <c r="C1127" s="24"/>
      <c r="D1127" s="18"/>
      <c r="E1127" s="16" t="s">
        <v>14</v>
      </c>
      <c r="F1127" s="22">
        <f>AVERAGE(F1123:F1126)</f>
        <v>0.0024071832962630547</v>
      </c>
      <c r="G1127" s="21">
        <f>AVERAGE(G1123:G1126)</f>
        <v>-0.030429712874019188</v>
      </c>
      <c r="H1127" s="18"/>
      <c r="I1127" s="5"/>
    </row>
    <row r="1128" spans="1:9" ht="12.75">
      <c r="A1128" s="5"/>
      <c r="B1128" s="23"/>
      <c r="C1128" s="24"/>
      <c r="D1128" s="18"/>
      <c r="E1128" s="74"/>
      <c r="F1128" s="76"/>
      <c r="G1128" s="75"/>
      <c r="H1128" s="18"/>
      <c r="I1128" s="5"/>
    </row>
    <row r="1129" spans="1:9" ht="12.75">
      <c r="A1129" s="23" t="s">
        <v>0</v>
      </c>
      <c r="B1129" s="23" t="s">
        <v>1</v>
      </c>
      <c r="C1129" s="18" t="s">
        <v>74</v>
      </c>
      <c r="D1129" s="18" t="s">
        <v>73</v>
      </c>
      <c r="E1129" s="18" t="s">
        <v>3</v>
      </c>
      <c r="F1129" s="18" t="s">
        <v>5</v>
      </c>
      <c r="G1129" s="18" t="s">
        <v>6</v>
      </c>
      <c r="H1129" s="18" t="s">
        <v>7</v>
      </c>
      <c r="I1129" s="18" t="s">
        <v>8</v>
      </c>
    </row>
    <row r="1130" spans="1:9" ht="12.75">
      <c r="A1130" s="23" t="s">
        <v>223</v>
      </c>
      <c r="B1130" s="23" t="s">
        <v>71</v>
      </c>
      <c r="C1130" s="24">
        <f>(4/3)^2*E1130</f>
        <v>51.09333333333333</v>
      </c>
      <c r="D1130" s="18">
        <v>47.9</v>
      </c>
      <c r="E1130" s="18">
        <v>28.74</v>
      </c>
      <c r="F1130" s="25">
        <f>-((D1130-C1130)/D1130)</f>
        <v>0.06666666666666655</v>
      </c>
      <c r="G1130" s="24">
        <f>C1130-D1130</f>
        <v>3.193333333333328</v>
      </c>
      <c r="H1130" s="18">
        <v>1220</v>
      </c>
      <c r="I1130" s="18" t="s">
        <v>224</v>
      </c>
    </row>
    <row r="1131" spans="1:9" ht="12.75">
      <c r="A1131" s="5"/>
      <c r="B1131" s="17" t="s">
        <v>52</v>
      </c>
      <c r="C1131" s="24">
        <f>(4/3)^2*E1131</f>
        <v>56.01777777777778</v>
      </c>
      <c r="D1131" s="18">
        <v>54.45</v>
      </c>
      <c r="E1131" s="18">
        <v>31.51</v>
      </c>
      <c r="F1131" s="25">
        <f>-((D1131-C1131)/D1131)</f>
        <v>0.02879298030813182</v>
      </c>
      <c r="G1131" s="24">
        <f>C1131-D1131</f>
        <v>1.5677777777777777</v>
      </c>
      <c r="H1131" s="18">
        <v>1220</v>
      </c>
      <c r="I1131" s="18" t="s">
        <v>224</v>
      </c>
    </row>
    <row r="1132" spans="1:9" ht="12.75">
      <c r="A1132" s="5"/>
      <c r="B1132" s="17" t="s">
        <v>51</v>
      </c>
      <c r="C1132" s="24">
        <f>(4/3)^2*E1132</f>
        <v>35.502222222222215</v>
      </c>
      <c r="D1132" s="18">
        <v>34.12</v>
      </c>
      <c r="E1132" s="18">
        <v>19.97</v>
      </c>
      <c r="F1132" s="25">
        <f>-((D1132-C1132)/D1132)</f>
        <v>0.040510616126090804</v>
      </c>
      <c r="G1132" s="24">
        <f>C1132-D1132</f>
        <v>1.382222222222218</v>
      </c>
      <c r="H1132" s="18">
        <v>1220</v>
      </c>
      <c r="I1132" s="18" t="s">
        <v>224</v>
      </c>
    </row>
    <row r="1133" spans="1:9" ht="12.75">
      <c r="A1133" s="5"/>
      <c r="B1133" s="17" t="s">
        <v>67</v>
      </c>
      <c r="C1133" s="24">
        <f>(4/3)^2*E1133</f>
        <v>31.733333333333334</v>
      </c>
      <c r="D1133" s="18">
        <v>29.2</v>
      </c>
      <c r="E1133" s="18">
        <v>17.85</v>
      </c>
      <c r="F1133" s="25">
        <f>-((D1133-C1133)/D1133)</f>
        <v>0.08675799086757997</v>
      </c>
      <c r="G1133" s="24">
        <f>C1133-D1133</f>
        <v>2.533333333333335</v>
      </c>
      <c r="H1133" s="18">
        <v>1220</v>
      </c>
      <c r="I1133" s="18" t="s">
        <v>224</v>
      </c>
    </row>
    <row r="1134" spans="1:9" ht="12.75">
      <c r="A1134" s="5"/>
      <c r="B1134" s="23"/>
      <c r="C1134" s="24"/>
      <c r="D1134" s="18"/>
      <c r="E1134" s="18" t="s">
        <v>14</v>
      </c>
      <c r="F1134" s="25">
        <f>AVERAGE(F1130:F1133)</f>
        <v>0.05568206349211728</v>
      </c>
      <c r="G1134" s="24">
        <f>AVERAGE(G1130:G1133)</f>
        <v>2.1691666666666647</v>
      </c>
      <c r="H1134" s="18"/>
      <c r="I1134" s="5"/>
    </row>
    <row r="1135" spans="1:9" ht="12.75">
      <c r="A1135" s="5"/>
      <c r="B1135" s="23"/>
      <c r="C1135" s="24"/>
      <c r="D1135" s="18"/>
      <c r="E1135" s="18"/>
      <c r="F1135" s="25"/>
      <c r="G1135" s="24"/>
      <c r="H1135" s="18"/>
      <c r="I1135" s="5"/>
    </row>
    <row r="1136" spans="1:9" ht="12.75">
      <c r="A1136" s="20" t="s">
        <v>0</v>
      </c>
      <c r="B1136" s="20" t="s">
        <v>1</v>
      </c>
      <c r="C1136" s="16" t="s">
        <v>225</v>
      </c>
      <c r="D1136" s="16" t="s">
        <v>73</v>
      </c>
      <c r="E1136" s="16" t="s">
        <v>3</v>
      </c>
      <c r="F1136" s="16" t="s">
        <v>5</v>
      </c>
      <c r="G1136" s="16" t="s">
        <v>6</v>
      </c>
      <c r="H1136" s="16" t="s">
        <v>7</v>
      </c>
      <c r="I1136" s="16" t="s">
        <v>8</v>
      </c>
    </row>
    <row r="1137" spans="1:9" ht="12.75">
      <c r="A1137" s="20" t="s">
        <v>226</v>
      </c>
      <c r="B1137" s="15" t="s">
        <v>84</v>
      </c>
      <c r="C1137" s="21">
        <f>(4/3)^1.81*E1137</f>
        <v>37.670310112678685</v>
      </c>
      <c r="D1137" s="16">
        <v>37.02</v>
      </c>
      <c r="E1137" s="16">
        <v>22.38</v>
      </c>
      <c r="F1137" s="22">
        <f>-((D1137-C1137)/D1137)</f>
        <v>0.017566453610985456</v>
      </c>
      <c r="G1137" s="21">
        <f>C1137-D1137</f>
        <v>0.6503101126786817</v>
      </c>
      <c r="H1137" s="16">
        <v>1040</v>
      </c>
      <c r="I1137" s="16" t="s">
        <v>224</v>
      </c>
    </row>
    <row r="1138" spans="2:9" ht="12.75">
      <c r="B1138" s="15" t="s">
        <v>71</v>
      </c>
      <c r="C1138" s="21">
        <f>(4/3)^1.81*E1138</f>
        <v>31.64440706516351</v>
      </c>
      <c r="D1138" s="16">
        <v>31.6</v>
      </c>
      <c r="E1138" s="16">
        <v>18.8</v>
      </c>
      <c r="F1138" s="22">
        <f>-((D1138-C1138)/D1138)</f>
        <v>0.0014052868722629116</v>
      </c>
      <c r="G1138" s="21">
        <f>C1138-D1138</f>
        <v>0.04440706516350801</v>
      </c>
      <c r="H1138" s="16">
        <v>1040</v>
      </c>
      <c r="I1138" s="16" t="s">
        <v>224</v>
      </c>
    </row>
    <row r="1139" spans="2:9" ht="12.75">
      <c r="B1139" s="15" t="s">
        <v>50</v>
      </c>
      <c r="C1139" s="21">
        <f>(4/3)^1.81*E1139</f>
        <v>45.66557253605776</v>
      </c>
      <c r="D1139" s="16">
        <v>44.65</v>
      </c>
      <c r="E1139" s="16">
        <v>27.13</v>
      </c>
      <c r="F1139" s="22">
        <f>-((D1139-C1139)/D1139)</f>
        <v>0.022745185578001356</v>
      </c>
      <c r="G1139" s="21">
        <f>C1139-D1139</f>
        <v>1.0155725360577605</v>
      </c>
      <c r="H1139" s="16">
        <v>1040</v>
      </c>
      <c r="I1139" s="16" t="s">
        <v>224</v>
      </c>
    </row>
    <row r="1140" spans="2:9" ht="12.75">
      <c r="B1140" s="15" t="s">
        <v>52</v>
      </c>
      <c r="C1140" s="21">
        <f>(4/3)^1.81*E1140</f>
        <v>34.32071596056829</v>
      </c>
      <c r="D1140" s="16">
        <v>35.62</v>
      </c>
      <c r="E1140" s="16">
        <v>20.39</v>
      </c>
      <c r="F1140" s="22">
        <f>-((D1140-C1140)/D1140)</f>
        <v>-0.03647625040515733</v>
      </c>
      <c r="G1140" s="21">
        <f>C1140-D1140</f>
        <v>-1.2992840394317042</v>
      </c>
      <c r="H1140" s="16">
        <v>1040</v>
      </c>
      <c r="I1140" s="16" t="s">
        <v>224</v>
      </c>
    </row>
    <row r="1141" spans="2:9" ht="12.75">
      <c r="B1141" s="15"/>
      <c r="C1141" s="21"/>
      <c r="D1141" s="16"/>
      <c r="E1141" s="16" t="s">
        <v>14</v>
      </c>
      <c r="F1141" s="22">
        <f>AVERAGE(F1137:F1140)</f>
        <v>0.001310168914023098</v>
      </c>
      <c r="G1141" s="21">
        <f>AVERAGE(G1137:G1140)</f>
        <v>0.1027514186170615</v>
      </c>
      <c r="H1141" s="16"/>
      <c r="I1141" s="16"/>
    </row>
    <row r="1142" spans="2:9" ht="12.75">
      <c r="B1142" s="69"/>
      <c r="C1142" s="71"/>
      <c r="D1142" s="70"/>
      <c r="E1142" s="70"/>
      <c r="F1142" s="72"/>
      <c r="G1142" s="71"/>
      <c r="H1142" s="70"/>
      <c r="I1142" s="70"/>
    </row>
    <row r="1143" spans="1:9" ht="12.75">
      <c r="A1143" s="23" t="s">
        <v>0</v>
      </c>
      <c r="B1143" s="23" t="s">
        <v>1</v>
      </c>
      <c r="C1143" s="18" t="s">
        <v>74</v>
      </c>
      <c r="D1143" s="18" t="s">
        <v>73</v>
      </c>
      <c r="E1143" s="18" t="s">
        <v>3</v>
      </c>
      <c r="F1143" s="18" t="s">
        <v>5</v>
      </c>
      <c r="G1143" s="18" t="s">
        <v>6</v>
      </c>
      <c r="H1143" s="18" t="s">
        <v>7</v>
      </c>
      <c r="I1143" s="18" t="s">
        <v>8</v>
      </c>
    </row>
    <row r="1144" spans="1:9" ht="12.75">
      <c r="A1144" s="23" t="s">
        <v>226</v>
      </c>
      <c r="B1144" s="17" t="s">
        <v>84</v>
      </c>
      <c r="C1144" s="24">
        <f>(4/3)^2*E1144</f>
        <v>39.78666666666666</v>
      </c>
      <c r="D1144" s="18">
        <v>37.02</v>
      </c>
      <c r="E1144" s="18">
        <v>22.38</v>
      </c>
      <c r="F1144" s="25">
        <f>-((D1144-C1144)/D1144)</f>
        <v>0.07473437781379412</v>
      </c>
      <c r="G1144" s="24">
        <f>C1144-D1144</f>
        <v>2.7666666666666586</v>
      </c>
      <c r="H1144" s="18">
        <v>1040</v>
      </c>
      <c r="I1144" s="18" t="s">
        <v>224</v>
      </c>
    </row>
    <row r="1145" spans="1:9" ht="12.75">
      <c r="A1145" s="5"/>
      <c r="B1145" s="17" t="s">
        <v>71</v>
      </c>
      <c r="C1145" s="24">
        <f>(4/3)^2*E1145</f>
        <v>33.422222222222224</v>
      </c>
      <c r="D1145" s="18">
        <v>31.6</v>
      </c>
      <c r="E1145" s="18">
        <v>18.8</v>
      </c>
      <c r="F1145" s="25">
        <f>-((D1145-C1145)/D1145)</f>
        <v>0.057665260196905786</v>
      </c>
      <c r="G1145" s="24">
        <f>C1145-D1145</f>
        <v>1.8222222222222229</v>
      </c>
      <c r="H1145" s="18">
        <v>1040</v>
      </c>
      <c r="I1145" s="18" t="s">
        <v>224</v>
      </c>
    </row>
    <row r="1146" spans="1:9" ht="12.75">
      <c r="A1146" s="5"/>
      <c r="B1146" s="17" t="s">
        <v>50</v>
      </c>
      <c r="C1146" s="24">
        <f>(4/3)^2*E1146</f>
        <v>48.231111111111105</v>
      </c>
      <c r="D1146" s="18">
        <v>44.65</v>
      </c>
      <c r="E1146" s="18">
        <v>27.13</v>
      </c>
      <c r="F1146" s="25">
        <f>-((D1146-C1146)/D1146)</f>
        <v>0.0802040562398904</v>
      </c>
      <c r="G1146" s="24">
        <f>C1146-D1146</f>
        <v>3.581111111111106</v>
      </c>
      <c r="H1146" s="18">
        <v>1040</v>
      </c>
      <c r="I1146" s="18" t="s">
        <v>224</v>
      </c>
    </row>
    <row r="1147" spans="1:9" ht="12.75">
      <c r="A1147" s="5"/>
      <c r="B1147" s="17" t="s">
        <v>52</v>
      </c>
      <c r="C1147" s="24">
        <f>(4/3)^2*E1147</f>
        <v>36.248888888888885</v>
      </c>
      <c r="D1147" s="18">
        <v>35.62</v>
      </c>
      <c r="E1147" s="18">
        <v>20.39</v>
      </c>
      <c r="F1147" s="25">
        <f>-((D1147-C1147)/D1147)</f>
        <v>0.017655499407324193</v>
      </c>
      <c r="G1147" s="24">
        <f>C1147-D1147</f>
        <v>0.6288888888888877</v>
      </c>
      <c r="H1147" s="18">
        <v>1040</v>
      </c>
      <c r="I1147" s="18" t="s">
        <v>224</v>
      </c>
    </row>
    <row r="1148" spans="1:9" ht="12.75">
      <c r="A1148" s="5"/>
      <c r="B1148" s="17"/>
      <c r="C1148" s="24"/>
      <c r="D1148" s="18"/>
      <c r="E1148" s="18" t="s">
        <v>14</v>
      </c>
      <c r="F1148" s="25">
        <f>AVERAGE(F1144:F1147)</f>
        <v>0.05756479841447862</v>
      </c>
      <c r="G1148" s="24">
        <f>AVERAGE(G1144:G1147)</f>
        <v>2.199722222222219</v>
      </c>
      <c r="H1148" s="18"/>
      <c r="I1148" s="18"/>
    </row>
    <row r="1149" spans="1:9" ht="12.75">
      <c r="A1149" s="5"/>
      <c r="B1149" s="23"/>
      <c r="C1149" s="24"/>
      <c r="D1149" s="18"/>
      <c r="E1149" s="18"/>
      <c r="F1149" s="25"/>
      <c r="G1149" s="24"/>
      <c r="H1149" s="18"/>
      <c r="I1149" s="5"/>
    </row>
    <row r="1150" spans="1:9" ht="12.75">
      <c r="A1150" s="20" t="s">
        <v>0</v>
      </c>
      <c r="B1150" s="20" t="s">
        <v>1</v>
      </c>
      <c r="C1150" s="16" t="s">
        <v>222</v>
      </c>
      <c r="D1150" s="16" t="s">
        <v>73</v>
      </c>
      <c r="E1150" s="16" t="s">
        <v>3</v>
      </c>
      <c r="F1150" s="16" t="s">
        <v>5</v>
      </c>
      <c r="G1150" s="16" t="s">
        <v>6</v>
      </c>
      <c r="H1150" s="16" t="s">
        <v>7</v>
      </c>
      <c r="I1150" s="16" t="s">
        <v>8</v>
      </c>
    </row>
    <row r="1151" spans="1:9" ht="12.75">
      <c r="A1151" s="20" t="s">
        <v>227</v>
      </c>
      <c r="B1151" s="15" t="s">
        <v>105</v>
      </c>
      <c r="C1151" s="21">
        <f>(4/3)^1.82*E1151</f>
        <v>27.211566147791203</v>
      </c>
      <c r="D1151" s="16">
        <v>26.89</v>
      </c>
      <c r="E1151" s="16">
        <v>16.12</v>
      </c>
      <c r="F1151" s="22">
        <f>-((D1151-C1151)/D1151)</f>
        <v>0.01195857745597628</v>
      </c>
      <c r="G1151" s="21">
        <f>C1151-D1151</f>
        <v>0.3215661477912022</v>
      </c>
      <c r="H1151" s="16">
        <v>830</v>
      </c>
      <c r="I1151" s="16" t="s">
        <v>224</v>
      </c>
    </row>
    <row r="1152" spans="2:9" ht="12.75">
      <c r="B1152" s="15" t="s">
        <v>83</v>
      </c>
      <c r="C1152" s="21">
        <f>(4/3)^1.82*E1152</f>
        <v>34.11574142970597</v>
      </c>
      <c r="D1152" s="16">
        <v>33.84</v>
      </c>
      <c r="E1152" s="16">
        <v>20.21</v>
      </c>
      <c r="F1152" s="22">
        <f>-((D1152-C1152)/D1152)</f>
        <v>0.008148387402658594</v>
      </c>
      <c r="G1152" s="21">
        <f>C1152-D1152</f>
        <v>0.2757414297059668</v>
      </c>
      <c r="H1152" s="16">
        <v>830</v>
      </c>
      <c r="I1152" s="16" t="s">
        <v>224</v>
      </c>
    </row>
    <row r="1153" spans="2:9" ht="12.75">
      <c r="B1153" s="15" t="s">
        <v>84</v>
      </c>
      <c r="C1153" s="21">
        <f>(4/3)^1.82*E1153</f>
        <v>23.160216349112613</v>
      </c>
      <c r="D1153" s="16">
        <v>22.8</v>
      </c>
      <c r="E1153" s="16">
        <v>13.72</v>
      </c>
      <c r="F1153" s="22">
        <f>-((D1153-C1153)/D1153)</f>
        <v>0.01579896268037772</v>
      </c>
      <c r="G1153" s="21">
        <f>C1153-D1153</f>
        <v>0.360216349112612</v>
      </c>
      <c r="H1153" s="16">
        <v>830</v>
      </c>
      <c r="I1153" s="16" t="s">
        <v>224</v>
      </c>
    </row>
    <row r="1154" spans="2:9" ht="12.75">
      <c r="B1154" s="15" t="s">
        <v>50</v>
      </c>
      <c r="C1154" s="21">
        <f>(4/3)^1.82*E1154</f>
        <v>27.819268617592993</v>
      </c>
      <c r="D1154" s="16">
        <v>27.69</v>
      </c>
      <c r="E1154" s="16">
        <v>16.48</v>
      </c>
      <c r="F1154" s="22">
        <f>-((D1154-C1154)/D1154)</f>
        <v>0.0046684224482842745</v>
      </c>
      <c r="G1154" s="21">
        <f>C1154-D1154</f>
        <v>0.12926861759299157</v>
      </c>
      <c r="H1154" s="16">
        <v>830</v>
      </c>
      <c r="I1154" s="16" t="s">
        <v>224</v>
      </c>
    </row>
    <row r="1155" spans="2:9" ht="12.75">
      <c r="B1155" s="15" t="s">
        <v>52</v>
      </c>
      <c r="C1155" s="21">
        <f>(4/3)^1.82*E1155</f>
        <v>20.256748993392954</v>
      </c>
      <c r="D1155" s="16">
        <v>20.91</v>
      </c>
      <c r="E1155" s="16">
        <v>12</v>
      </c>
      <c r="F1155" s="22">
        <f>-((D1155-C1155)/D1155)</f>
        <v>-0.031241081138548375</v>
      </c>
      <c r="G1155" s="21">
        <f>C1155-D1155</f>
        <v>-0.6532510066070465</v>
      </c>
      <c r="H1155" s="16">
        <v>830</v>
      </c>
      <c r="I1155" s="16" t="s">
        <v>224</v>
      </c>
    </row>
    <row r="1156" spans="3:9" ht="12.75">
      <c r="C1156" s="21"/>
      <c r="D1156" s="16"/>
      <c r="E1156" s="16" t="s">
        <v>14</v>
      </c>
      <c r="F1156" s="22">
        <f>AVERAGE(F1151:F1155)</f>
        <v>0.0018666537697496991</v>
      </c>
      <c r="G1156" s="21">
        <f>AVERAGE(G1151:G1155)</f>
        <v>0.08670830751914523</v>
      </c>
      <c r="H1156" s="16"/>
      <c r="I1156" s="16"/>
    </row>
    <row r="1157" spans="2:9" ht="12.75">
      <c r="B1157" s="15"/>
      <c r="C1157" s="21"/>
      <c r="D1157" s="16"/>
      <c r="E1157" s="16"/>
      <c r="F1157" s="22"/>
      <c r="G1157" s="21"/>
      <c r="H1157" s="16"/>
      <c r="I1157" s="16"/>
    </row>
    <row r="1158" spans="1:9" ht="12.75">
      <c r="A1158" s="23" t="s">
        <v>0</v>
      </c>
      <c r="B1158" s="23" t="s">
        <v>1</v>
      </c>
      <c r="C1158" s="18" t="s">
        <v>74</v>
      </c>
      <c r="D1158" s="18" t="s">
        <v>73</v>
      </c>
      <c r="E1158" s="18" t="s">
        <v>3</v>
      </c>
      <c r="F1158" s="18" t="s">
        <v>5</v>
      </c>
      <c r="G1158" s="18" t="s">
        <v>6</v>
      </c>
      <c r="H1158" s="18" t="s">
        <v>7</v>
      </c>
      <c r="I1158" s="18" t="s">
        <v>8</v>
      </c>
    </row>
    <row r="1159" spans="1:9" ht="12.75">
      <c r="A1159" s="23" t="s">
        <v>227</v>
      </c>
      <c r="B1159" s="17" t="s">
        <v>105</v>
      </c>
      <c r="C1159" s="24">
        <f>(4/3)^2*E1159</f>
        <v>28.657777777777778</v>
      </c>
      <c r="D1159" s="18">
        <v>26.89</v>
      </c>
      <c r="E1159" s="18">
        <v>16.12</v>
      </c>
      <c r="F1159" s="25">
        <f>-((D1159-C1159)/D1159)</f>
        <v>0.06574108507912893</v>
      </c>
      <c r="G1159" s="24">
        <f>C1159-D1159</f>
        <v>1.767777777777777</v>
      </c>
      <c r="H1159" s="18">
        <v>830</v>
      </c>
      <c r="I1159" s="18" t="s">
        <v>224</v>
      </c>
    </row>
    <row r="1160" spans="1:9" ht="12.75">
      <c r="A1160" s="5"/>
      <c r="B1160" s="17" t="s">
        <v>83</v>
      </c>
      <c r="C1160" s="24">
        <f>(4/3)^2*E1160</f>
        <v>35.928888888888885</v>
      </c>
      <c r="D1160" s="18">
        <v>33.84</v>
      </c>
      <c r="E1160" s="18">
        <v>20.21</v>
      </c>
      <c r="F1160" s="25">
        <f>-((D1160-C1160)/D1160)</f>
        <v>0.06172839506172817</v>
      </c>
      <c r="G1160" s="24">
        <f>C1160-D1160</f>
        <v>2.0888888888888815</v>
      </c>
      <c r="H1160" s="18">
        <v>830</v>
      </c>
      <c r="I1160" s="18" t="s">
        <v>224</v>
      </c>
    </row>
    <row r="1161" spans="1:9" ht="12.75">
      <c r="A1161" s="5"/>
      <c r="B1161" s="17" t="s">
        <v>84</v>
      </c>
      <c r="C1161" s="24">
        <f>(4/3)^2*E1161</f>
        <v>24.391111111111112</v>
      </c>
      <c r="D1161" s="18">
        <v>22.8</v>
      </c>
      <c r="E1161" s="18">
        <v>13.72</v>
      </c>
      <c r="F1161" s="25">
        <f>-((D1161-C1161)/D1161)</f>
        <v>0.06978557504873294</v>
      </c>
      <c r="G1161" s="24">
        <f>C1161-D1161</f>
        <v>1.5911111111111111</v>
      </c>
      <c r="H1161" s="18">
        <v>830</v>
      </c>
      <c r="I1161" s="18" t="s">
        <v>224</v>
      </c>
    </row>
    <row r="1162" spans="1:9" ht="12.75">
      <c r="A1162" s="5"/>
      <c r="B1162" s="17" t="s">
        <v>50</v>
      </c>
      <c r="C1162" s="24">
        <f>(4/3)^2*E1162</f>
        <v>29.297777777777778</v>
      </c>
      <c r="D1162" s="18">
        <v>27.69</v>
      </c>
      <c r="E1162" s="18">
        <v>16.48</v>
      </c>
      <c r="F1162" s="25">
        <f>-((D1162-C1162)/D1162)</f>
        <v>0.05806348059869183</v>
      </c>
      <c r="G1162" s="24">
        <f>C1162-D1162</f>
        <v>1.6077777777777769</v>
      </c>
      <c r="H1162" s="18">
        <v>830</v>
      </c>
      <c r="I1162" s="18" t="s">
        <v>224</v>
      </c>
    </row>
    <row r="1163" spans="1:9" ht="12.75">
      <c r="A1163" s="5"/>
      <c r="B1163" s="17" t="s">
        <v>52</v>
      </c>
      <c r="C1163" s="24">
        <f>(4/3)^2*E1163</f>
        <v>21.333333333333332</v>
      </c>
      <c r="D1163" s="18">
        <v>20.91</v>
      </c>
      <c r="E1163" s="18">
        <v>12</v>
      </c>
      <c r="F1163" s="25">
        <f>-((D1163-C1163)/D1163)</f>
        <v>0.020245496572612723</v>
      </c>
      <c r="G1163" s="24">
        <f>C1163-D1163</f>
        <v>0.423333333333332</v>
      </c>
      <c r="H1163" s="18">
        <v>830</v>
      </c>
      <c r="I1163" s="18" t="s">
        <v>224</v>
      </c>
    </row>
    <row r="1164" spans="1:9" ht="12.75">
      <c r="A1164" s="5"/>
      <c r="B1164" s="5"/>
      <c r="C1164" s="24"/>
      <c r="D1164" s="18"/>
      <c r="E1164" s="18" t="s">
        <v>14</v>
      </c>
      <c r="F1164" s="25">
        <f>AVERAGE(F1159:F1163)</f>
        <v>0.05511280647217891</v>
      </c>
      <c r="G1164" s="24">
        <f>AVERAGE(G1159:G1163)</f>
        <v>1.4957777777777757</v>
      </c>
      <c r="H1164" s="18"/>
      <c r="I1164" s="18"/>
    </row>
    <row r="1165" spans="2:8" ht="12.75">
      <c r="B1165" s="15"/>
      <c r="C1165" s="15"/>
      <c r="D1165" s="16"/>
      <c r="E1165" s="16"/>
      <c r="F1165" s="16"/>
      <c r="G1165" s="21"/>
      <c r="H1165" s="16"/>
    </row>
    <row r="1166" spans="1:9" ht="12.75">
      <c r="A1166" s="20" t="s">
        <v>0</v>
      </c>
      <c r="B1166" s="20" t="s">
        <v>1</v>
      </c>
      <c r="C1166" s="16" t="s">
        <v>228</v>
      </c>
      <c r="D1166" s="16" t="s">
        <v>73</v>
      </c>
      <c r="E1166" s="16" t="s">
        <v>3</v>
      </c>
      <c r="F1166" s="16" t="s">
        <v>5</v>
      </c>
      <c r="G1166" s="16" t="s">
        <v>6</v>
      </c>
      <c r="H1166" s="16" t="s">
        <v>7</v>
      </c>
      <c r="I1166" s="16" t="s">
        <v>8</v>
      </c>
    </row>
    <row r="1167" spans="1:9" ht="12.75">
      <c r="A1167" s="20" t="s">
        <v>229</v>
      </c>
      <c r="B1167" s="15" t="s">
        <v>71</v>
      </c>
      <c r="C1167" s="21">
        <f>(4/3)^1.78*E1167</f>
        <v>70.48794683781166</v>
      </c>
      <c r="D1167" s="16">
        <v>69.03</v>
      </c>
      <c r="E1167" s="16">
        <v>42.24</v>
      </c>
      <c r="F1167" s="22">
        <f>-((D1167-C1167)/D1167)</f>
        <v>0.0211204814980684</v>
      </c>
      <c r="G1167" s="21">
        <f>C1167-D1167</f>
        <v>1.4579468378116616</v>
      </c>
      <c r="H1167" s="16">
        <v>1450</v>
      </c>
      <c r="I1167" s="16" t="s">
        <v>230</v>
      </c>
    </row>
    <row r="1168" spans="2:9" ht="12.75">
      <c r="B1168" s="15" t="s">
        <v>51</v>
      </c>
      <c r="C1168" s="21">
        <f>(4/3)^1.78*E1168</f>
        <v>51.380773748490085</v>
      </c>
      <c r="D1168" s="16">
        <v>52.04</v>
      </c>
      <c r="E1168" s="16">
        <v>30.79</v>
      </c>
      <c r="F1168" s="22">
        <f>-((D1168-C1168)/D1168)</f>
        <v>-0.012667683541697033</v>
      </c>
      <c r="G1168" s="21">
        <f>C1168-D1168</f>
        <v>-0.6592262515099137</v>
      </c>
      <c r="H1168" s="16">
        <v>1450</v>
      </c>
      <c r="I1168" s="16" t="s">
        <v>230</v>
      </c>
    </row>
    <row r="1169" spans="2:9" ht="12.75">
      <c r="B1169" s="15" t="s">
        <v>67</v>
      </c>
      <c r="C1169" s="21">
        <f>(4/3)^1.78*E1169</f>
        <v>45.37327827935841</v>
      </c>
      <c r="D1169" s="16">
        <v>45.22</v>
      </c>
      <c r="E1169" s="16">
        <v>27.19</v>
      </c>
      <c r="F1169" s="22">
        <f>-((D1169-C1169)/D1169)</f>
        <v>0.0033896125466256178</v>
      </c>
      <c r="G1169" s="21">
        <f>C1169-D1169</f>
        <v>0.15327827935841043</v>
      </c>
      <c r="H1169" s="16">
        <v>1450</v>
      </c>
      <c r="I1169" s="16" t="s">
        <v>230</v>
      </c>
    </row>
    <row r="1170" spans="2:9" ht="12.75">
      <c r="B1170" s="15" t="s">
        <v>42</v>
      </c>
      <c r="C1170" s="21">
        <f>(4/3)^1.78*E1170</f>
        <v>43.70452953793295</v>
      </c>
      <c r="D1170" s="16">
        <v>43.89</v>
      </c>
      <c r="E1170" s="16">
        <v>26.19</v>
      </c>
      <c r="F1170" s="22">
        <f>-((D1170-C1170)/D1170)</f>
        <v>-0.0042258022799510535</v>
      </c>
      <c r="G1170" s="21">
        <f>C1170-D1170</f>
        <v>-0.18547046206705176</v>
      </c>
      <c r="H1170" s="16">
        <v>1450</v>
      </c>
      <c r="I1170" s="16" t="s">
        <v>230</v>
      </c>
    </row>
    <row r="1171" spans="2:9" ht="12.75">
      <c r="B1171" s="15"/>
      <c r="C1171" s="21"/>
      <c r="D1171" s="16"/>
      <c r="E1171" s="16" t="s">
        <v>14</v>
      </c>
      <c r="F1171" s="22">
        <f>AVERAGE(F1167:F1170)</f>
        <v>0.0019041520557614823</v>
      </c>
      <c r="G1171" s="21">
        <f>AVERAGE(G1167:G1170)</f>
        <v>0.19163210089827665</v>
      </c>
      <c r="H1171" s="16"/>
      <c r="I1171" s="16"/>
    </row>
    <row r="1172" spans="2:9" ht="12.75">
      <c r="B1172" s="15"/>
      <c r="C1172" s="21"/>
      <c r="D1172" s="16"/>
      <c r="E1172" s="16"/>
      <c r="F1172" s="22"/>
      <c r="G1172" s="21"/>
      <c r="H1172" s="16"/>
      <c r="I1172" s="16"/>
    </row>
    <row r="1173" spans="1:9" ht="12.75">
      <c r="A1173" s="23" t="s">
        <v>0</v>
      </c>
      <c r="B1173" s="23" t="s">
        <v>1</v>
      </c>
      <c r="C1173" s="18" t="s">
        <v>74</v>
      </c>
      <c r="D1173" s="18" t="s">
        <v>73</v>
      </c>
      <c r="E1173" s="18" t="s">
        <v>3</v>
      </c>
      <c r="F1173" s="18" t="s">
        <v>5</v>
      </c>
      <c r="G1173" s="18" t="s">
        <v>6</v>
      </c>
      <c r="H1173" s="18" t="s">
        <v>7</v>
      </c>
      <c r="I1173" s="18" t="s">
        <v>8</v>
      </c>
    </row>
    <row r="1174" spans="1:9" ht="12.75">
      <c r="A1174" s="23" t="s">
        <v>229</v>
      </c>
      <c r="B1174" s="17" t="s">
        <v>71</v>
      </c>
      <c r="C1174" s="24">
        <f>(4/3)^2*E1174</f>
        <v>75.09333333333333</v>
      </c>
      <c r="D1174" s="18">
        <v>69.03</v>
      </c>
      <c r="E1174" s="18">
        <v>42.24</v>
      </c>
      <c r="F1174" s="25">
        <f>-((D1174-C1174)/D1174)</f>
        <v>0.08783620648027426</v>
      </c>
      <c r="G1174" s="24">
        <f>C1174-D1174</f>
        <v>6.063333333333333</v>
      </c>
      <c r="H1174" s="18">
        <v>1450</v>
      </c>
      <c r="I1174" s="18" t="s">
        <v>230</v>
      </c>
    </row>
    <row r="1175" spans="1:9" ht="12.75">
      <c r="A1175" s="5"/>
      <c r="B1175" s="17" t="s">
        <v>51</v>
      </c>
      <c r="C1175" s="24">
        <f>(4/3)^1.5*E1175</f>
        <v>47.404306102262865</v>
      </c>
      <c r="D1175" s="18">
        <v>52.04</v>
      </c>
      <c r="E1175" s="18">
        <v>30.79</v>
      </c>
      <c r="F1175" s="25">
        <f>-((D1175-C1175)/D1175)</f>
        <v>-0.08907943692807714</v>
      </c>
      <c r="G1175" s="24">
        <f>C1175-D1175</f>
        <v>-4.635693897737134</v>
      </c>
      <c r="H1175" s="18">
        <v>1450</v>
      </c>
      <c r="I1175" s="18" t="s">
        <v>230</v>
      </c>
    </row>
    <row r="1176" spans="1:9" ht="12.75">
      <c r="A1176" s="5"/>
      <c r="B1176" s="17" t="s">
        <v>67</v>
      </c>
      <c r="C1176" s="24">
        <f>(4/3)^1.5*E1176</f>
        <v>41.861743518042466</v>
      </c>
      <c r="D1176" s="18">
        <v>45.22</v>
      </c>
      <c r="E1176" s="18">
        <v>27.19</v>
      </c>
      <c r="F1176" s="25">
        <f>-((D1176-C1176)/D1176)</f>
        <v>-0.07426484922506706</v>
      </c>
      <c r="G1176" s="24">
        <f>C1176-D1176</f>
        <v>-3.3582564819575325</v>
      </c>
      <c r="H1176" s="18">
        <v>1450</v>
      </c>
      <c r="I1176" s="18" t="s">
        <v>230</v>
      </c>
    </row>
    <row r="1177" spans="1:9" ht="12.75">
      <c r="A1177" s="5"/>
      <c r="B1177" s="17" t="s">
        <v>42</v>
      </c>
      <c r="C1177" s="24">
        <f>(4/3)^1.5*E1177</f>
        <v>40.32214280020346</v>
      </c>
      <c r="D1177" s="18">
        <v>43.89</v>
      </c>
      <c r="E1177" s="18">
        <v>26.19</v>
      </c>
      <c r="F1177" s="25">
        <f>-((D1177-C1177)/D1177)</f>
        <v>-0.08129089085888681</v>
      </c>
      <c r="G1177" s="24">
        <f>C1177-D1177</f>
        <v>-3.567857199796542</v>
      </c>
      <c r="H1177" s="18">
        <v>1450</v>
      </c>
      <c r="I1177" s="18" t="s">
        <v>230</v>
      </c>
    </row>
    <row r="1178" spans="1:9" ht="12.75">
      <c r="A1178" s="5"/>
      <c r="B1178" s="17"/>
      <c r="C1178" s="24"/>
      <c r="D1178" s="18"/>
      <c r="E1178" s="18" t="s">
        <v>14</v>
      </c>
      <c r="F1178" s="25">
        <f>AVERAGE(F1174:F1177)</f>
        <v>-0.03919974263293919</v>
      </c>
      <c r="G1178" s="24">
        <f>AVERAGE(G1174:G1177)</f>
        <v>-1.374618561539469</v>
      </c>
      <c r="H1178" s="18"/>
      <c r="I1178" s="18"/>
    </row>
    <row r="1179" spans="2:8" ht="12.75">
      <c r="B1179" s="15"/>
      <c r="C1179" s="15"/>
      <c r="D1179" s="16"/>
      <c r="E1179" s="16"/>
      <c r="F1179" s="16"/>
      <c r="G1179" s="16"/>
      <c r="H1179" s="16"/>
    </row>
    <row r="1180" spans="1:9" ht="12.75">
      <c r="A1180" s="69" t="s">
        <v>0</v>
      </c>
      <c r="B1180" s="69" t="s">
        <v>1</v>
      </c>
      <c r="C1180" s="70" t="s">
        <v>231</v>
      </c>
      <c r="D1180" s="70" t="s">
        <v>218</v>
      </c>
      <c r="E1180" s="70" t="s">
        <v>73</v>
      </c>
      <c r="F1180" s="70" t="s">
        <v>5</v>
      </c>
      <c r="G1180" s="70" t="s">
        <v>6</v>
      </c>
      <c r="H1180" s="70" t="s">
        <v>7</v>
      </c>
      <c r="I1180" s="70" t="s">
        <v>8</v>
      </c>
    </row>
    <row r="1181" spans="1:9" ht="12.75">
      <c r="A1181" s="69" t="s">
        <v>229</v>
      </c>
      <c r="B1181" s="77" t="s">
        <v>35</v>
      </c>
      <c r="C1181" s="71">
        <f>(5/4)^1.96*E1181</f>
        <v>54.66613013559233</v>
      </c>
      <c r="D1181" s="70">
        <v>55.42</v>
      </c>
      <c r="E1181" s="70">
        <v>35.3</v>
      </c>
      <c r="F1181" s="72">
        <f>-((D1181-C1181)/D1181)</f>
        <v>-0.013602848509701712</v>
      </c>
      <c r="G1181" s="71">
        <f>C1181-D1181</f>
        <v>-0.7538698644076689</v>
      </c>
      <c r="H1181" s="70">
        <v>1450</v>
      </c>
      <c r="I1181" s="70" t="s">
        <v>230</v>
      </c>
    </row>
    <row r="1182" spans="2:9" ht="12.75">
      <c r="B1182" s="77" t="s">
        <v>22</v>
      </c>
      <c r="C1182" s="71">
        <f>(5/4)^1.96*E1182</f>
        <v>37.770734107849776</v>
      </c>
      <c r="D1182" s="70">
        <v>36.96</v>
      </c>
      <c r="E1182" s="70">
        <v>24.39</v>
      </c>
      <c r="F1182" s="72">
        <f>-((D1182-C1182)/D1182)</f>
        <v>0.021935446640957125</v>
      </c>
      <c r="G1182" s="71">
        <f>C1182-D1182</f>
        <v>0.8107341078497754</v>
      </c>
      <c r="H1182" s="70">
        <v>1450</v>
      </c>
      <c r="I1182" s="70" t="s">
        <v>230</v>
      </c>
    </row>
    <row r="1183" spans="2:9" ht="12.75">
      <c r="B1183" s="77" t="s">
        <v>13</v>
      </c>
      <c r="C1183" s="71">
        <f>(5/4)^1.96*E1183</f>
        <v>30.38383776941421</v>
      </c>
      <c r="D1183" s="70">
        <v>30.5</v>
      </c>
      <c r="E1183" s="70">
        <v>19.62</v>
      </c>
      <c r="F1183" s="72">
        <f>-((D1183-C1183)/D1183)</f>
        <v>-0.0038085977241242514</v>
      </c>
      <c r="G1183" s="71">
        <f>C1183-D1183</f>
        <v>-0.11616223058578967</v>
      </c>
      <c r="H1183" s="70">
        <v>1450</v>
      </c>
      <c r="I1183" s="70" t="s">
        <v>230</v>
      </c>
    </row>
    <row r="1184" spans="2:8" ht="12.75">
      <c r="B1184" s="15"/>
      <c r="C1184" s="15"/>
      <c r="D1184" s="16"/>
      <c r="E1184" s="70" t="s">
        <v>14</v>
      </c>
      <c r="F1184" s="72">
        <f>AVERAGE(F1181:F1183)</f>
        <v>0.0015080001357103874</v>
      </c>
      <c r="G1184" s="71">
        <f>AVERAGE(G1181:G1183)</f>
        <v>-0.019765995714561058</v>
      </c>
      <c r="H1184" s="16"/>
    </row>
    <row r="1186" spans="1:9" ht="12.75">
      <c r="A1186" s="73" t="s">
        <v>0</v>
      </c>
      <c r="B1186" s="73" t="s">
        <v>1</v>
      </c>
      <c r="C1186" s="74" t="s">
        <v>219</v>
      </c>
      <c r="D1186" s="74" t="s">
        <v>218</v>
      </c>
      <c r="E1186" s="74" t="s">
        <v>73</v>
      </c>
      <c r="F1186" s="74" t="s">
        <v>5</v>
      </c>
      <c r="G1186" s="74" t="s">
        <v>6</v>
      </c>
      <c r="H1186" s="74" t="s">
        <v>7</v>
      </c>
      <c r="I1186" s="74" t="s">
        <v>8</v>
      </c>
    </row>
    <row r="1187" spans="1:9" ht="12.75">
      <c r="A1187" s="73" t="s">
        <v>229</v>
      </c>
      <c r="B1187" s="78" t="s">
        <v>35</v>
      </c>
      <c r="C1187" s="75">
        <f>(5/4)^2*E1187</f>
        <v>55.15624999999999</v>
      </c>
      <c r="D1187" s="74">
        <v>55.42</v>
      </c>
      <c r="E1187" s="74">
        <v>35.3</v>
      </c>
      <c r="F1187" s="76">
        <f>-((D1187-C1187)/D1187)</f>
        <v>-0.004759112233850754</v>
      </c>
      <c r="G1187" s="75">
        <f>C1187-D1187</f>
        <v>-0.2637500000000088</v>
      </c>
      <c r="H1187" s="74">
        <v>1450</v>
      </c>
      <c r="I1187" s="74" t="s">
        <v>230</v>
      </c>
    </row>
    <row r="1188" spans="1:9" ht="12.75">
      <c r="A1188" s="5"/>
      <c r="B1188" s="78" t="s">
        <v>22</v>
      </c>
      <c r="C1188" s="75">
        <f>(5/4)^2*E1188</f>
        <v>38.109375</v>
      </c>
      <c r="D1188" s="74">
        <v>36.96</v>
      </c>
      <c r="E1188" s="74">
        <v>24.39</v>
      </c>
      <c r="F1188" s="76">
        <f>-((D1188-C1188)/D1188)</f>
        <v>0.03109780844155842</v>
      </c>
      <c r="G1188" s="75">
        <f>C1188-D1188</f>
        <v>1.1493749999999991</v>
      </c>
      <c r="H1188" s="74">
        <v>1450</v>
      </c>
      <c r="I1188" s="74" t="s">
        <v>230</v>
      </c>
    </row>
    <row r="1189" spans="1:9" ht="12.75">
      <c r="A1189" s="5"/>
      <c r="B1189" s="78" t="s">
        <v>13</v>
      </c>
      <c r="C1189" s="75">
        <f>(5/4)^2*E1189</f>
        <v>30.65625</v>
      </c>
      <c r="D1189" s="74">
        <v>30.5</v>
      </c>
      <c r="E1189" s="74">
        <v>19.62</v>
      </c>
      <c r="F1189" s="76">
        <f>-((D1189-C1189)/D1189)</f>
        <v>0.005122950819672131</v>
      </c>
      <c r="G1189" s="75">
        <f>C1189-D1189</f>
        <v>0.15625</v>
      </c>
      <c r="H1189" s="74">
        <v>1450</v>
      </c>
      <c r="I1189" s="74" t="s">
        <v>230</v>
      </c>
    </row>
    <row r="1190" spans="1:9" ht="12.75">
      <c r="A1190" s="5"/>
      <c r="B1190" s="17"/>
      <c r="C1190" s="17"/>
      <c r="D1190" s="18"/>
      <c r="E1190" s="74" t="s">
        <v>14</v>
      </c>
      <c r="F1190" s="76">
        <f>AVERAGE(F1187:F1189)</f>
        <v>0.010487215675793264</v>
      </c>
      <c r="G1190" s="75">
        <f>AVERAGE(G1187:G1189)</f>
        <v>0.34729166666666345</v>
      </c>
      <c r="H1190" s="18"/>
      <c r="I1190" s="5"/>
    </row>
    <row r="1191" spans="1:9" ht="12.75">
      <c r="A1191" s="5"/>
      <c r="B1191" s="17"/>
      <c r="C1191" s="17"/>
      <c r="D1191" s="18"/>
      <c r="E1191" s="74"/>
      <c r="F1191" s="76"/>
      <c r="G1191" s="75"/>
      <c r="H1191" s="18"/>
      <c r="I1191" s="5"/>
    </row>
    <row r="1192" spans="1:9" ht="12.75">
      <c r="A1192" s="20" t="s">
        <v>0</v>
      </c>
      <c r="B1192" s="20" t="s">
        <v>1</v>
      </c>
      <c r="C1192" s="16" t="s">
        <v>232</v>
      </c>
      <c r="D1192" s="16" t="s">
        <v>73</v>
      </c>
      <c r="E1192" s="16" t="s">
        <v>3</v>
      </c>
      <c r="F1192" s="16" t="s">
        <v>5</v>
      </c>
      <c r="G1192" s="16" t="s">
        <v>6</v>
      </c>
      <c r="H1192" s="16" t="s">
        <v>7</v>
      </c>
      <c r="I1192" s="16" t="s">
        <v>8</v>
      </c>
    </row>
    <row r="1193" spans="1:9" ht="12.75">
      <c r="A1193" s="20" t="s">
        <v>233</v>
      </c>
      <c r="B1193" s="20" t="s">
        <v>105</v>
      </c>
      <c r="C1193" s="21">
        <f>(4/3)^1.79*E1193</f>
        <v>49.28623434196259</v>
      </c>
      <c r="D1193" s="16">
        <v>47.96</v>
      </c>
      <c r="E1193" s="16">
        <v>29.45</v>
      </c>
      <c r="F1193" s="22">
        <f>-((D1193-C1193)/D1193)</f>
        <v>0.027652926229411786</v>
      </c>
      <c r="G1193" s="21">
        <f>C1193-D1193</f>
        <v>1.3262343419625893</v>
      </c>
      <c r="H1193" s="16">
        <v>1170</v>
      </c>
      <c r="I1193" s="16" t="s">
        <v>234</v>
      </c>
    </row>
    <row r="1194" spans="2:9" ht="12.75">
      <c r="B1194" s="15" t="s">
        <v>84</v>
      </c>
      <c r="C1194" s="21">
        <f>(4/3)^1.79*E1194</f>
        <v>40.68415473185435</v>
      </c>
      <c r="D1194" s="16">
        <v>39.83</v>
      </c>
      <c r="E1194" s="16">
        <v>24.31</v>
      </c>
      <c r="F1194" s="22">
        <f>-((D1194-C1194)/D1194)</f>
        <v>0.02144500958710396</v>
      </c>
      <c r="G1194" s="21">
        <f>C1194-D1194</f>
        <v>0.8541547318543508</v>
      </c>
      <c r="H1194" s="16">
        <v>1170</v>
      </c>
      <c r="I1194" s="16" t="s">
        <v>234</v>
      </c>
    </row>
    <row r="1195" spans="2:9" ht="12.75">
      <c r="B1195" s="15" t="s">
        <v>71</v>
      </c>
      <c r="C1195" s="21">
        <f>(4/3)^1.79*E1195</f>
        <v>34.70955858242119</v>
      </c>
      <c r="D1195" s="16">
        <v>34.85</v>
      </c>
      <c r="E1195" s="16">
        <v>20.74</v>
      </c>
      <c r="F1195" s="22">
        <f>-((D1195-C1195)/D1195)</f>
        <v>-0.004029882857354759</v>
      </c>
      <c r="G1195" s="21">
        <f>C1195-D1195</f>
        <v>-0.14044141757881334</v>
      </c>
      <c r="H1195" s="16">
        <v>1170</v>
      </c>
      <c r="I1195" s="16" t="s">
        <v>234</v>
      </c>
    </row>
    <row r="1196" spans="2:9" ht="12.75">
      <c r="B1196" s="15" t="s">
        <v>50</v>
      </c>
      <c r="C1196" s="21">
        <f>(4/3)^1.79*E1196</f>
        <v>49.302969905406385</v>
      </c>
      <c r="D1196" s="16">
        <v>47.53</v>
      </c>
      <c r="E1196" s="16">
        <v>29.46</v>
      </c>
      <c r="F1196" s="22">
        <f>-((D1196-C1196)/D1196)</f>
        <v>0.03730212298351324</v>
      </c>
      <c r="G1196" s="21">
        <f>C1196-D1196</f>
        <v>1.7729699054063843</v>
      </c>
      <c r="H1196" s="16">
        <v>1170</v>
      </c>
      <c r="I1196" s="16" t="s">
        <v>234</v>
      </c>
    </row>
    <row r="1197" spans="2:9" ht="12.75">
      <c r="B1197" s="15" t="s">
        <v>52</v>
      </c>
      <c r="C1197" s="21">
        <f>(4/3)^1.79*E1197</f>
        <v>37.01906633766426</v>
      </c>
      <c r="D1197" s="16">
        <v>38.35</v>
      </c>
      <c r="E1197" s="16">
        <v>22.12</v>
      </c>
      <c r="F1197" s="22">
        <f>-((D1197-C1197)/D1197)</f>
        <v>-0.03470491948724219</v>
      </c>
      <c r="G1197" s="21">
        <f>C1197-D1197</f>
        <v>-1.3309336623357382</v>
      </c>
      <c r="H1197" s="16">
        <v>1170</v>
      </c>
      <c r="I1197" s="16" t="s">
        <v>234</v>
      </c>
    </row>
    <row r="1198" spans="2:9" ht="12.75">
      <c r="B1198" s="15" t="s">
        <v>51</v>
      </c>
      <c r="C1198" s="21">
        <f>(4/3)^1.79*E1198</f>
        <v>23.898384597732623</v>
      </c>
      <c r="D1198" s="16">
        <v>25.01</v>
      </c>
      <c r="E1198" s="16">
        <v>14.28</v>
      </c>
      <c r="F1198" s="22">
        <f>-((D1198-C1198)/D1198)</f>
        <v>-0.044446837355752854</v>
      </c>
      <c r="G1198" s="21">
        <f>C1198-D1198</f>
        <v>-1.111615402267379</v>
      </c>
      <c r="H1198" s="16">
        <v>1170</v>
      </c>
      <c r="I1198" s="16" t="s">
        <v>234</v>
      </c>
    </row>
    <row r="1199" spans="2:9" ht="12.75">
      <c r="B1199" s="15"/>
      <c r="C1199" s="21"/>
      <c r="D1199" s="16"/>
      <c r="E1199" s="16" t="s">
        <v>14</v>
      </c>
      <c r="F1199" s="22">
        <f>AVERAGE(F1193:F1198)</f>
        <v>0.0005364031832798642</v>
      </c>
      <c r="G1199" s="21">
        <f>AVERAGE(G1193:G1198)</f>
        <v>0.22839474950689898</v>
      </c>
      <c r="H1199" s="16"/>
      <c r="I1199" s="16"/>
    </row>
    <row r="1200" spans="2:9" ht="12.75">
      <c r="B1200" s="15"/>
      <c r="C1200" s="21"/>
      <c r="D1200" s="16"/>
      <c r="E1200" s="16"/>
      <c r="F1200" s="22"/>
      <c r="G1200" s="21"/>
      <c r="H1200" s="16"/>
      <c r="I1200" s="16"/>
    </row>
    <row r="1201" spans="1:9" ht="12.75">
      <c r="A1201" s="23" t="s">
        <v>0</v>
      </c>
      <c r="B1201" s="23" t="s">
        <v>1</v>
      </c>
      <c r="C1201" s="18" t="s">
        <v>74</v>
      </c>
      <c r="D1201" s="18" t="s">
        <v>73</v>
      </c>
      <c r="E1201" s="18" t="s">
        <v>3</v>
      </c>
      <c r="F1201" s="18" t="s">
        <v>5</v>
      </c>
      <c r="G1201" s="18" t="s">
        <v>6</v>
      </c>
      <c r="H1201" s="18" t="s">
        <v>7</v>
      </c>
      <c r="I1201" s="18" t="s">
        <v>8</v>
      </c>
    </row>
    <row r="1202" spans="1:9" ht="12.75">
      <c r="A1202" s="23" t="s">
        <v>233</v>
      </c>
      <c r="B1202" s="23" t="s">
        <v>105</v>
      </c>
      <c r="C1202" s="24">
        <f>(4/3)^2*E1202</f>
        <v>52.355555555555554</v>
      </c>
      <c r="D1202" s="18">
        <v>47.96</v>
      </c>
      <c r="E1202" s="18">
        <v>29.45</v>
      </c>
      <c r="F1202" s="25">
        <f>-((D1202-C1202)/D1202)</f>
        <v>0.09165044944861454</v>
      </c>
      <c r="G1202" s="24">
        <f>C1202-D1202</f>
        <v>4.395555555555553</v>
      </c>
      <c r="H1202" s="18">
        <v>1170</v>
      </c>
      <c r="I1202" s="18" t="s">
        <v>234</v>
      </c>
    </row>
    <row r="1203" spans="1:9" ht="12.75">
      <c r="A1203" s="5"/>
      <c r="B1203" s="17" t="s">
        <v>84</v>
      </c>
      <c r="C1203" s="24">
        <f>(4/3)^2*E1203</f>
        <v>43.217777777777776</v>
      </c>
      <c r="D1203" s="18">
        <v>39.83</v>
      </c>
      <c r="E1203" s="18">
        <v>24.31</v>
      </c>
      <c r="F1203" s="25">
        <f>-((D1203-C1203)/D1203)</f>
        <v>0.08505593215610792</v>
      </c>
      <c r="G1203" s="24">
        <f>C1203-D1203</f>
        <v>3.387777777777778</v>
      </c>
      <c r="H1203" s="18">
        <v>1170</v>
      </c>
      <c r="I1203" s="18" t="s">
        <v>234</v>
      </c>
    </row>
    <row r="1204" spans="1:9" ht="12.75">
      <c r="A1204" s="5"/>
      <c r="B1204" s="17" t="s">
        <v>71</v>
      </c>
      <c r="C1204" s="24">
        <f>(4/3)^2*E1204</f>
        <v>36.871111111111105</v>
      </c>
      <c r="D1204" s="18">
        <v>34.85</v>
      </c>
      <c r="E1204" s="18">
        <v>20.74</v>
      </c>
      <c r="F1204" s="25">
        <f>-((D1204-C1204)/D1204)</f>
        <v>0.05799457994579924</v>
      </c>
      <c r="G1204" s="24">
        <f>C1204-D1204</f>
        <v>2.0211111111111038</v>
      </c>
      <c r="H1204" s="18">
        <v>1170</v>
      </c>
      <c r="I1204" s="18" t="s">
        <v>234</v>
      </c>
    </row>
    <row r="1205" spans="1:9" ht="12.75">
      <c r="A1205" s="5"/>
      <c r="B1205" s="17" t="s">
        <v>50</v>
      </c>
      <c r="C1205" s="24">
        <f>(4/3)^2*E1205</f>
        <v>52.373333333333335</v>
      </c>
      <c r="D1205" s="18">
        <v>47.53</v>
      </c>
      <c r="E1205" s="18">
        <v>29.46</v>
      </c>
      <c r="F1205" s="25">
        <f>-((D1205-C1205)/D1205)</f>
        <v>0.10190055403604742</v>
      </c>
      <c r="G1205" s="24">
        <f>C1205-D1205</f>
        <v>4.843333333333334</v>
      </c>
      <c r="H1205" s="18">
        <v>1170</v>
      </c>
      <c r="I1205" s="18" t="s">
        <v>234</v>
      </c>
    </row>
    <row r="1206" spans="1:9" ht="12.75">
      <c r="A1206" s="5"/>
      <c r="B1206" s="17" t="s">
        <v>52</v>
      </c>
      <c r="C1206" s="24">
        <f>(4/3)^2*E1206</f>
        <v>39.324444444444445</v>
      </c>
      <c r="D1206" s="18">
        <v>38.35</v>
      </c>
      <c r="E1206" s="18">
        <v>22.12</v>
      </c>
      <c r="F1206" s="25">
        <f>-((D1206-C1206)/D1206)</f>
        <v>0.02540924235839489</v>
      </c>
      <c r="G1206" s="24">
        <f>C1206-D1206</f>
        <v>0.974444444444444</v>
      </c>
      <c r="H1206" s="18">
        <v>1170</v>
      </c>
      <c r="I1206" s="18" t="s">
        <v>234</v>
      </c>
    </row>
    <row r="1207" spans="1:9" ht="12.75">
      <c r="A1207" s="5"/>
      <c r="B1207" s="17" t="s">
        <v>51</v>
      </c>
      <c r="C1207" s="24">
        <f>(4/3)^2*E1207</f>
        <v>25.386666666666663</v>
      </c>
      <c r="D1207" s="18">
        <v>25.01</v>
      </c>
      <c r="E1207" s="18">
        <v>14.28</v>
      </c>
      <c r="F1207" s="25">
        <f>-((D1207-C1207)/D1207)</f>
        <v>0.015060642409702582</v>
      </c>
      <c r="G1207" s="24">
        <f>C1207-D1207</f>
        <v>0.3766666666666616</v>
      </c>
      <c r="H1207" s="18">
        <v>1170</v>
      </c>
      <c r="I1207" s="18" t="s">
        <v>234</v>
      </c>
    </row>
    <row r="1208" spans="1:9" ht="12.75">
      <c r="A1208" s="5"/>
      <c r="B1208" s="17"/>
      <c r="C1208" s="24"/>
      <c r="D1208" s="18"/>
      <c r="E1208" s="18" t="s">
        <v>14</v>
      </c>
      <c r="F1208" s="25">
        <f>AVERAGE(F1202:F1207)</f>
        <v>0.06284523339244442</v>
      </c>
      <c r="G1208" s="24">
        <f>AVERAGE(G1202:G1207)</f>
        <v>2.6664814814814792</v>
      </c>
      <c r="H1208" s="18"/>
      <c r="I1208" s="18"/>
    </row>
    <row r="1209" spans="2:8" ht="12.75">
      <c r="B1209" s="15"/>
      <c r="C1209" s="15"/>
      <c r="D1209" s="16"/>
      <c r="E1209" s="16"/>
      <c r="F1209" s="16"/>
      <c r="G1209" s="16"/>
      <c r="H1209" s="16"/>
    </row>
    <row r="1210" spans="1:9" ht="12.75">
      <c r="A1210" s="69" t="s">
        <v>0</v>
      </c>
      <c r="B1210" s="69" t="s">
        <v>1</v>
      </c>
      <c r="C1210" s="70" t="s">
        <v>235</v>
      </c>
      <c r="D1210" s="70" t="s">
        <v>218</v>
      </c>
      <c r="E1210" s="70" t="s">
        <v>73</v>
      </c>
      <c r="F1210" s="70" t="s">
        <v>5</v>
      </c>
      <c r="G1210" s="70" t="s">
        <v>6</v>
      </c>
      <c r="H1210" s="70" t="s">
        <v>7</v>
      </c>
      <c r="I1210" s="70" t="s">
        <v>8</v>
      </c>
    </row>
    <row r="1211" spans="1:9" ht="12.75">
      <c r="A1211" s="69" t="s">
        <v>233</v>
      </c>
      <c r="B1211" s="69" t="s">
        <v>71</v>
      </c>
      <c r="C1211" s="71">
        <f>(5/4)^1.82*E1211</f>
        <v>52.30931177314986</v>
      </c>
      <c r="D1211" s="70">
        <v>51.78</v>
      </c>
      <c r="E1211" s="70">
        <v>34.85</v>
      </c>
      <c r="F1211" s="72">
        <f>-((D1211-C1211)/D1211)</f>
        <v>0.01022232084105556</v>
      </c>
      <c r="G1211" s="71">
        <f>C1211-D1211</f>
        <v>0.5293117731498569</v>
      </c>
      <c r="H1211" s="70">
        <v>1170</v>
      </c>
      <c r="I1211" s="70" t="s">
        <v>234</v>
      </c>
    </row>
    <row r="1212" spans="2:9" ht="12.75">
      <c r="B1212" s="69" t="s">
        <v>51</v>
      </c>
      <c r="C1212" s="71">
        <f>(5/4)^1.82*E1212</f>
        <v>37.539623743084015</v>
      </c>
      <c r="D1212" s="70">
        <v>37.87</v>
      </c>
      <c r="E1212" s="70">
        <v>25.01</v>
      </c>
      <c r="F1212" s="72">
        <f>-((D1212-C1212)/D1212)</f>
        <v>-0.008723957140638578</v>
      </c>
      <c r="G1212" s="71">
        <f>C1212-D1212</f>
        <v>-0.33037625691598294</v>
      </c>
      <c r="H1212" s="70">
        <v>1170</v>
      </c>
      <c r="I1212" s="70" t="s">
        <v>234</v>
      </c>
    </row>
    <row r="1213" spans="2:9" ht="12.75">
      <c r="B1213" s="69" t="s">
        <v>67</v>
      </c>
      <c r="C1213" s="71">
        <f>(5/4)^1.82*E1213</f>
        <v>32.976630693144976</v>
      </c>
      <c r="D1213" s="70">
        <v>32.86</v>
      </c>
      <c r="E1213" s="70">
        <v>21.97</v>
      </c>
      <c r="F1213" s="72">
        <f>-((D1213-C1213)/D1213)</f>
        <v>0.003549321154746706</v>
      </c>
      <c r="G1213" s="71">
        <f>C1213-D1213</f>
        <v>0.11663069314497676</v>
      </c>
      <c r="H1213" s="70">
        <v>1170</v>
      </c>
      <c r="I1213" s="70" t="s">
        <v>234</v>
      </c>
    </row>
    <row r="1214" spans="2:9" ht="12.75">
      <c r="B1214" s="69" t="s">
        <v>42</v>
      </c>
      <c r="C1214" s="71">
        <f>(5/4)^1.82*E1214</f>
        <v>31.64075443839308</v>
      </c>
      <c r="D1214" s="70">
        <v>31.74</v>
      </c>
      <c r="E1214" s="70">
        <v>21.08</v>
      </c>
      <c r="F1214" s="72">
        <f>-((D1214-C1214)/D1214)</f>
        <v>-0.0031268292881826473</v>
      </c>
      <c r="G1214" s="71">
        <f>C1214-D1214</f>
        <v>-0.09924556160691722</v>
      </c>
      <c r="H1214" s="70">
        <v>1170</v>
      </c>
      <c r="I1214" s="70" t="s">
        <v>234</v>
      </c>
    </row>
    <row r="1215" spans="1:9" ht="12.75">
      <c r="A1215" s="5"/>
      <c r="B1215" s="17"/>
      <c r="C1215" s="17"/>
      <c r="D1215" s="18"/>
      <c r="E1215" s="70" t="s">
        <v>14</v>
      </c>
      <c r="F1215" s="72">
        <f>AVERAGE(F1211:F1214)</f>
        <v>0.00048021389174526027</v>
      </c>
      <c r="G1215" s="71">
        <f>AVERAGE(G1211:G1214)</f>
        <v>0.054080161942983374</v>
      </c>
      <c r="H1215" s="18"/>
      <c r="I1215" s="5"/>
    </row>
    <row r="1216" spans="1:9" ht="12.75">
      <c r="A1216" s="5"/>
      <c r="B1216" s="17"/>
      <c r="C1216" s="17"/>
      <c r="D1216" s="18"/>
      <c r="E1216" s="70"/>
      <c r="F1216" s="72"/>
      <c r="G1216" s="71"/>
      <c r="H1216" s="18"/>
      <c r="I1216" s="5"/>
    </row>
    <row r="1217" spans="1:9" ht="12.75">
      <c r="A1217" s="73" t="s">
        <v>0</v>
      </c>
      <c r="B1217" s="73" t="s">
        <v>1</v>
      </c>
      <c r="C1217" s="74" t="s">
        <v>219</v>
      </c>
      <c r="D1217" s="74" t="s">
        <v>218</v>
      </c>
      <c r="E1217" s="74" t="s">
        <v>73</v>
      </c>
      <c r="F1217" s="74" t="s">
        <v>5</v>
      </c>
      <c r="G1217" s="74" t="s">
        <v>6</v>
      </c>
      <c r="H1217" s="74" t="s">
        <v>7</v>
      </c>
      <c r="I1217" s="74" t="s">
        <v>8</v>
      </c>
    </row>
    <row r="1218" spans="1:9" ht="12.75">
      <c r="A1218" s="73" t="s">
        <v>233</v>
      </c>
      <c r="B1218" s="73" t="s">
        <v>71</v>
      </c>
      <c r="C1218" s="75">
        <f>(5/4)^2*E1218</f>
        <v>54.453125</v>
      </c>
      <c r="D1218" s="74">
        <v>51.78</v>
      </c>
      <c r="E1218" s="74">
        <v>34.85</v>
      </c>
      <c r="F1218" s="76">
        <f>-((D1218-C1218)/D1218)</f>
        <v>0.05162466203167244</v>
      </c>
      <c r="G1218" s="75">
        <f>C1218-D1218</f>
        <v>2.673124999999999</v>
      </c>
      <c r="H1218" s="74">
        <v>1170</v>
      </c>
      <c r="I1218" s="74" t="s">
        <v>234</v>
      </c>
    </row>
    <row r="1219" spans="1:9" ht="12.75">
      <c r="A1219" s="5"/>
      <c r="B1219" s="73" t="s">
        <v>51</v>
      </c>
      <c r="C1219" s="75">
        <f>(5/4)^2*E1219</f>
        <v>39.078125</v>
      </c>
      <c r="D1219" s="74">
        <v>37.87</v>
      </c>
      <c r="E1219" s="74">
        <v>25.01</v>
      </c>
      <c r="F1219" s="76">
        <f>-((D1219-C1219)/D1219)</f>
        <v>0.031901901241088</v>
      </c>
      <c r="G1219" s="75">
        <f>C1219-D1219</f>
        <v>1.2081250000000026</v>
      </c>
      <c r="H1219" s="74">
        <v>1170</v>
      </c>
      <c r="I1219" s="74" t="s">
        <v>234</v>
      </c>
    </row>
    <row r="1220" spans="1:9" ht="12.75">
      <c r="A1220" s="5"/>
      <c r="B1220" s="73" t="s">
        <v>67</v>
      </c>
      <c r="C1220" s="75">
        <f>(5/4)^2*E1220</f>
        <v>34.328125</v>
      </c>
      <c r="D1220" s="74">
        <v>32.86</v>
      </c>
      <c r="E1220" s="74">
        <v>21.97</v>
      </c>
      <c r="F1220" s="76">
        <f>-((D1220-C1220)/D1220)</f>
        <v>0.04467818015824713</v>
      </c>
      <c r="G1220" s="75">
        <f>C1220-D1220</f>
        <v>1.4681250000000006</v>
      </c>
      <c r="H1220" s="74">
        <v>1170</v>
      </c>
      <c r="I1220" s="74" t="s">
        <v>234</v>
      </c>
    </row>
    <row r="1221" spans="1:9" ht="12.75">
      <c r="A1221" s="5"/>
      <c r="B1221" s="73" t="s">
        <v>42</v>
      </c>
      <c r="C1221" s="75">
        <f>(5/4)^2*E1221</f>
        <v>32.9375</v>
      </c>
      <c r="D1221" s="74">
        <v>31.74</v>
      </c>
      <c r="E1221" s="74">
        <v>21.08</v>
      </c>
      <c r="F1221" s="76">
        <f>-((D1221-C1221)/D1221)</f>
        <v>0.03772841839949596</v>
      </c>
      <c r="G1221" s="75">
        <f>C1221-D1221</f>
        <v>1.1975000000000016</v>
      </c>
      <c r="H1221" s="74">
        <v>1170</v>
      </c>
      <c r="I1221" s="74" t="s">
        <v>234</v>
      </c>
    </row>
    <row r="1222" spans="1:9" ht="12.75">
      <c r="A1222" s="5"/>
      <c r="B1222" s="17"/>
      <c r="C1222" s="17"/>
      <c r="D1222" s="18"/>
      <c r="E1222" s="74" t="s">
        <v>14</v>
      </c>
      <c r="F1222" s="76">
        <f>AVERAGE(F1218:F1221)</f>
        <v>0.04148329045762588</v>
      </c>
      <c r="G1222" s="75">
        <f>AVERAGE(G1218:G1221)</f>
        <v>1.6367187500000009</v>
      </c>
      <c r="H1222" s="18"/>
      <c r="I1222" s="5"/>
    </row>
    <row r="1223" spans="1:9" ht="12.75">
      <c r="A1223" s="5"/>
      <c r="B1223" s="17"/>
      <c r="C1223" s="17"/>
      <c r="D1223" s="18"/>
      <c r="E1223" s="74"/>
      <c r="F1223" s="76"/>
      <c r="G1223" s="75"/>
      <c r="H1223" s="18"/>
      <c r="I1223" s="5"/>
    </row>
    <row r="1224" spans="1:9" ht="12.75">
      <c r="A1224" s="20" t="s">
        <v>0</v>
      </c>
      <c r="B1224" s="20" t="s">
        <v>1</v>
      </c>
      <c r="C1224" s="16" t="s">
        <v>181</v>
      </c>
      <c r="D1224" s="16" t="s">
        <v>73</v>
      </c>
      <c r="E1224" s="16" t="s">
        <v>3</v>
      </c>
      <c r="F1224" s="16" t="s">
        <v>5</v>
      </c>
      <c r="G1224" s="16" t="s">
        <v>6</v>
      </c>
      <c r="H1224" s="16" t="s">
        <v>7</v>
      </c>
      <c r="I1224" s="16" t="s">
        <v>8</v>
      </c>
    </row>
    <row r="1225" spans="1:9" ht="12.75">
      <c r="A1225" s="20" t="s">
        <v>236</v>
      </c>
      <c r="B1225" s="20" t="s">
        <v>96</v>
      </c>
      <c r="C1225" s="21">
        <f>(4/3)^1.65*E1225</f>
        <v>45.94213142592152</v>
      </c>
      <c r="D1225" s="16">
        <v>43.73</v>
      </c>
      <c r="E1225" s="16">
        <v>28.58</v>
      </c>
      <c r="F1225" s="22">
        <f>-((D1225-C1225)/D1225)</f>
        <v>0.05058612910865584</v>
      </c>
      <c r="G1225" s="21">
        <f>C1225-D1225</f>
        <v>2.2121314259215197</v>
      </c>
      <c r="H1225" s="16">
        <v>970</v>
      </c>
      <c r="I1225" s="16" t="s">
        <v>237</v>
      </c>
    </row>
    <row r="1226" spans="2:9" ht="12.75">
      <c r="B1226" s="20" t="s">
        <v>98</v>
      </c>
      <c r="C1226" s="21">
        <f>(4/3)^1.65*E1226</f>
        <v>44.9133363205125</v>
      </c>
      <c r="D1226" s="16">
        <v>44.68</v>
      </c>
      <c r="E1226" s="16">
        <v>27.94</v>
      </c>
      <c r="F1226" s="22">
        <f>-((D1226-C1226)/D1226)</f>
        <v>0.005222388552204558</v>
      </c>
      <c r="G1226" s="21">
        <f>C1226-D1226</f>
        <v>0.23333632051249964</v>
      </c>
      <c r="H1226" s="16">
        <v>970</v>
      </c>
      <c r="I1226" s="16" t="s">
        <v>237</v>
      </c>
    </row>
    <row r="1227" spans="2:9" ht="12.75">
      <c r="B1227" s="20" t="s">
        <v>103</v>
      </c>
      <c r="C1227" s="21">
        <f>(4/3)^1.65*E1227</f>
        <v>41.71442653963133</v>
      </c>
      <c r="D1227" s="16">
        <v>40.6</v>
      </c>
      <c r="E1227" s="16">
        <v>25.95</v>
      </c>
      <c r="F1227" s="22">
        <f>-((D1227-C1227)/D1227)</f>
        <v>0.02744892954756974</v>
      </c>
      <c r="G1227" s="21">
        <f>C1227-D1227</f>
        <v>1.1144265396313315</v>
      </c>
      <c r="H1227" s="16">
        <v>970</v>
      </c>
      <c r="I1227" s="16" t="s">
        <v>237</v>
      </c>
    </row>
    <row r="1228" spans="2:9" ht="12.75">
      <c r="B1228" s="20" t="s">
        <v>104</v>
      </c>
      <c r="C1228" s="21">
        <f>(4/3)^1.65*E1228</f>
        <v>36.056053459881724</v>
      </c>
      <c r="D1228" s="16">
        <v>36.42</v>
      </c>
      <c r="E1228" s="16">
        <v>22.43</v>
      </c>
      <c r="F1228" s="22">
        <f>-((D1228-C1228)/D1228)</f>
        <v>-0.009993040640260228</v>
      </c>
      <c r="G1228" s="21">
        <f>C1228-D1228</f>
        <v>-0.36394654011827754</v>
      </c>
      <c r="H1228" s="16">
        <v>970</v>
      </c>
      <c r="I1228" s="16" t="s">
        <v>237</v>
      </c>
    </row>
    <row r="1229" spans="2:9" ht="12.75">
      <c r="B1229" s="20" t="s">
        <v>105</v>
      </c>
      <c r="C1229" s="21">
        <f>(4/3)^1.65*E1229</f>
        <v>33.38761615522708</v>
      </c>
      <c r="D1229" s="16">
        <v>34.29</v>
      </c>
      <c r="E1229" s="16">
        <v>20.77</v>
      </c>
      <c r="F1229" s="22">
        <f>-((D1229-C1229)/D1229)</f>
        <v>-0.02631623927596735</v>
      </c>
      <c r="G1229" s="21">
        <f>C1229-D1229</f>
        <v>-0.9023838447729204</v>
      </c>
      <c r="H1229" s="16">
        <v>970</v>
      </c>
      <c r="I1229" s="16" t="s">
        <v>237</v>
      </c>
    </row>
    <row r="1230" spans="2:9" ht="12.75">
      <c r="B1230" s="20" t="s">
        <v>107</v>
      </c>
      <c r="C1230" s="21">
        <f>(4/3)^1.65*E1230</f>
        <v>46.842327143154414</v>
      </c>
      <c r="D1230" s="16">
        <v>45.22</v>
      </c>
      <c r="E1230" s="16">
        <v>29.14</v>
      </c>
      <c r="F1230" s="22">
        <f>-((D1230-C1230)/D1230)</f>
        <v>0.03587631895520599</v>
      </c>
      <c r="G1230" s="21">
        <f>C1230-D1230</f>
        <v>1.6223271431544148</v>
      </c>
      <c r="H1230" s="16">
        <v>970</v>
      </c>
      <c r="I1230" s="16" t="s">
        <v>237</v>
      </c>
    </row>
    <row r="1231" spans="2:9" ht="12.75">
      <c r="B1231" s="20" t="s">
        <v>83</v>
      </c>
      <c r="C1231" s="21">
        <f>(4/3)^1.65*E1231</f>
        <v>40.70170635774433</v>
      </c>
      <c r="D1231" s="16">
        <v>41.23</v>
      </c>
      <c r="E1231" s="16">
        <v>25.32</v>
      </c>
      <c r="F1231" s="22">
        <f>-((D1231-C1231)/D1231)</f>
        <v>-0.012813331124318914</v>
      </c>
      <c r="G1231" s="21">
        <f>C1231-D1231</f>
        <v>-0.5282936422556688</v>
      </c>
      <c r="H1231" s="16">
        <v>970</v>
      </c>
      <c r="I1231" s="16" t="s">
        <v>237</v>
      </c>
    </row>
    <row r="1232" spans="2:9" ht="12.75">
      <c r="B1232" s="20" t="s">
        <v>84</v>
      </c>
      <c r="C1232" s="21">
        <f>(4/3)^1.65*E1232</f>
        <v>27.359519834471108</v>
      </c>
      <c r="D1232" s="16">
        <v>27.99</v>
      </c>
      <c r="E1232" s="16">
        <v>17.02</v>
      </c>
      <c r="F1232" s="22">
        <f>-((D1232-C1232)/D1232)</f>
        <v>-0.022525193480846393</v>
      </c>
      <c r="G1232" s="21">
        <f>C1232-D1232</f>
        <v>-0.6304801655288905</v>
      </c>
      <c r="H1232" s="16">
        <v>970</v>
      </c>
      <c r="I1232" s="16" t="s">
        <v>237</v>
      </c>
    </row>
    <row r="1233" spans="2:9" ht="12.75">
      <c r="B1233" s="20" t="s">
        <v>50</v>
      </c>
      <c r="C1233" s="21">
        <f>(4/3)^1.65*E1233</f>
        <v>33.08219260830877</v>
      </c>
      <c r="D1233" s="16">
        <v>34.08</v>
      </c>
      <c r="E1233" s="16">
        <v>20.58</v>
      </c>
      <c r="F1233" s="22">
        <f>-((D1233-C1233)/D1233)</f>
        <v>-0.029278385906432662</v>
      </c>
      <c r="G1233" s="21">
        <f>C1233-D1233</f>
        <v>-0.9978073916912251</v>
      </c>
      <c r="H1233" s="16">
        <v>970</v>
      </c>
      <c r="I1233" s="16" t="s">
        <v>237</v>
      </c>
    </row>
    <row r="1234" spans="2:9" ht="12.75">
      <c r="B1234" s="20"/>
      <c r="C1234" s="21"/>
      <c r="D1234" s="16"/>
      <c r="E1234" s="16" t="s">
        <v>14</v>
      </c>
      <c r="F1234" s="22">
        <f>AVERAGE(F1225:F1233)</f>
        <v>0.00202306397064562</v>
      </c>
      <c r="G1234" s="21">
        <f>AVERAGE(G1225:G1233)</f>
        <v>0.19547887165030925</v>
      </c>
      <c r="H1234" s="16"/>
      <c r="I1234" s="16"/>
    </row>
    <row r="1235" spans="2:9" ht="12.75">
      <c r="B1235" s="20"/>
      <c r="C1235" s="21"/>
      <c r="D1235" s="16"/>
      <c r="E1235" s="16"/>
      <c r="F1235" s="22"/>
      <c r="G1235" s="21"/>
      <c r="H1235" s="16"/>
      <c r="I1235" s="16"/>
    </row>
    <row r="1236" spans="1:9" ht="12.75">
      <c r="A1236" s="23" t="s">
        <v>0</v>
      </c>
      <c r="B1236" s="23" t="s">
        <v>1</v>
      </c>
      <c r="C1236" s="18" t="s">
        <v>74</v>
      </c>
      <c r="D1236" s="18" t="s">
        <v>73</v>
      </c>
      <c r="E1236" s="18" t="s">
        <v>3</v>
      </c>
      <c r="F1236" s="18" t="s">
        <v>5</v>
      </c>
      <c r="G1236" s="18" t="s">
        <v>6</v>
      </c>
      <c r="H1236" s="18" t="s">
        <v>7</v>
      </c>
      <c r="I1236" s="18" t="s">
        <v>8</v>
      </c>
    </row>
    <row r="1237" spans="1:9" ht="12.75">
      <c r="A1237" s="23" t="s">
        <v>236</v>
      </c>
      <c r="B1237" s="23" t="s">
        <v>96</v>
      </c>
      <c r="C1237" s="24">
        <f>(4/3)^2*E1237</f>
        <v>50.80888888888888</v>
      </c>
      <c r="D1237" s="18">
        <v>43.73</v>
      </c>
      <c r="E1237" s="18">
        <v>28.58</v>
      </c>
      <c r="F1237" s="25">
        <f>-((D1237-C1237)/D1237)</f>
        <v>0.16187717559773346</v>
      </c>
      <c r="G1237" s="24">
        <f>C1237-D1237</f>
        <v>7.0788888888888835</v>
      </c>
      <c r="H1237" s="18">
        <v>970</v>
      </c>
      <c r="I1237" s="18" t="s">
        <v>237</v>
      </c>
    </row>
    <row r="1238" spans="1:9" ht="12.75">
      <c r="A1238" s="5"/>
      <c r="B1238" s="23" t="s">
        <v>98</v>
      </c>
      <c r="C1238" s="24">
        <f>(4/3)^2*E1238</f>
        <v>49.67111111111111</v>
      </c>
      <c r="D1238" s="18">
        <v>44.68</v>
      </c>
      <c r="E1238" s="18">
        <v>27.94</v>
      </c>
      <c r="F1238" s="25">
        <f>-((D1238-C1238)/D1238)</f>
        <v>0.11170794787625582</v>
      </c>
      <c r="G1238" s="24">
        <f>C1238-D1238</f>
        <v>4.99111111111111</v>
      </c>
      <c r="H1238" s="18">
        <v>970</v>
      </c>
      <c r="I1238" s="18" t="s">
        <v>237</v>
      </c>
    </row>
    <row r="1239" spans="1:9" ht="12.75">
      <c r="A1239" s="5"/>
      <c r="B1239" s="23" t="s">
        <v>103</v>
      </c>
      <c r="C1239" s="24">
        <f>(4/3)^2*E1239</f>
        <v>46.13333333333333</v>
      </c>
      <c r="D1239" s="18">
        <v>40.6</v>
      </c>
      <c r="E1239" s="18">
        <v>25.95</v>
      </c>
      <c r="F1239" s="25">
        <f>-((D1239-C1239)/D1239)</f>
        <v>0.13628899835796382</v>
      </c>
      <c r="G1239" s="24">
        <f>C1239-D1239</f>
        <v>5.533333333333331</v>
      </c>
      <c r="H1239" s="18">
        <v>970</v>
      </c>
      <c r="I1239" s="18" t="s">
        <v>237</v>
      </c>
    </row>
    <row r="1240" spans="1:9" ht="12.75">
      <c r="A1240" s="5"/>
      <c r="B1240" s="23" t="s">
        <v>104</v>
      </c>
      <c r="C1240" s="24">
        <f>(4/3)^2*E1240</f>
        <v>39.87555555555555</v>
      </c>
      <c r="D1240" s="18">
        <v>36.42</v>
      </c>
      <c r="E1240" s="18">
        <v>22.43</v>
      </c>
      <c r="F1240" s="25">
        <f>-((D1240-C1240)/D1240)</f>
        <v>0.09488071267313422</v>
      </c>
      <c r="G1240" s="24">
        <f>C1240-D1240</f>
        <v>3.4555555555555486</v>
      </c>
      <c r="H1240" s="18">
        <v>970</v>
      </c>
      <c r="I1240" s="18" t="s">
        <v>237</v>
      </c>
    </row>
    <row r="1241" spans="1:9" ht="12.75">
      <c r="A1241" s="5"/>
      <c r="B1241" s="23" t="s">
        <v>105</v>
      </c>
      <c r="C1241" s="24">
        <f>(4/3)^2*E1241</f>
        <v>36.92444444444444</v>
      </c>
      <c r="D1241" s="18">
        <v>34.29</v>
      </c>
      <c r="E1241" s="18">
        <v>20.77</v>
      </c>
      <c r="F1241" s="25">
        <f>-((D1241-C1241)/D1241)</f>
        <v>0.0768283594180356</v>
      </c>
      <c r="G1241" s="24">
        <f>C1241-D1241</f>
        <v>2.6344444444444406</v>
      </c>
      <c r="H1241" s="18">
        <v>970</v>
      </c>
      <c r="I1241" s="18" t="s">
        <v>237</v>
      </c>
    </row>
    <row r="1242" spans="1:9" ht="12.75">
      <c r="A1242" s="5"/>
      <c r="B1242" s="23" t="s">
        <v>107</v>
      </c>
      <c r="C1242" s="24">
        <f>(4/3)^2*E1242</f>
        <v>51.80444444444444</v>
      </c>
      <c r="D1242" s="18">
        <v>45.22</v>
      </c>
      <c r="E1242" s="18">
        <v>29.14</v>
      </c>
      <c r="F1242" s="25">
        <f>-((D1242-C1242)/D1242)</f>
        <v>0.14560912084131897</v>
      </c>
      <c r="G1242" s="24">
        <f>C1242-D1242</f>
        <v>6.584444444444443</v>
      </c>
      <c r="H1242" s="18">
        <v>970</v>
      </c>
      <c r="I1242" s="18" t="s">
        <v>237</v>
      </c>
    </row>
    <row r="1243" spans="1:9" ht="12.75">
      <c r="A1243" s="5"/>
      <c r="B1243" s="23" t="s">
        <v>83</v>
      </c>
      <c r="C1243" s="24">
        <f>(4/3)^2*E1243</f>
        <v>45.01333333333333</v>
      </c>
      <c r="D1243" s="18">
        <v>41.23</v>
      </c>
      <c r="E1243" s="18">
        <v>25.32</v>
      </c>
      <c r="F1243" s="25">
        <f>-((D1243-C1243)/D1243)</f>
        <v>0.09176166222006625</v>
      </c>
      <c r="G1243" s="24">
        <f>C1243-D1243</f>
        <v>3.7833333333333314</v>
      </c>
      <c r="H1243" s="18">
        <v>970</v>
      </c>
      <c r="I1243" s="18" t="s">
        <v>237</v>
      </c>
    </row>
    <row r="1244" spans="1:9" ht="12.75">
      <c r="A1244" s="5"/>
      <c r="B1244" s="23" t="s">
        <v>84</v>
      </c>
      <c r="C1244" s="24">
        <f>(4/3)^2*E1244</f>
        <v>30.257777777777775</v>
      </c>
      <c r="D1244" s="18">
        <v>27.99</v>
      </c>
      <c r="E1244" s="18">
        <v>17.02</v>
      </c>
      <c r="F1244" s="25">
        <f>-((D1244-C1244)/D1244)</f>
        <v>0.08102099956333608</v>
      </c>
      <c r="G1244" s="24">
        <f>C1244-D1244</f>
        <v>2.267777777777777</v>
      </c>
      <c r="H1244" s="18">
        <v>970</v>
      </c>
      <c r="I1244" s="18" t="s">
        <v>237</v>
      </c>
    </row>
    <row r="1245" spans="1:9" ht="12.75">
      <c r="A1245" s="5"/>
      <c r="B1245" s="23" t="s">
        <v>50</v>
      </c>
      <c r="C1245" s="24">
        <f>(4/3)^2*E1245</f>
        <v>36.58666666666666</v>
      </c>
      <c r="D1245" s="18">
        <v>34.08</v>
      </c>
      <c r="E1245" s="18">
        <v>20.58</v>
      </c>
      <c r="F1245" s="25">
        <f>-((D1245-C1245)/D1245)</f>
        <v>0.07355242566510155</v>
      </c>
      <c r="G1245" s="24">
        <f>C1245-D1245</f>
        <v>2.5066666666666606</v>
      </c>
      <c r="H1245" s="18">
        <v>970</v>
      </c>
      <c r="I1245" s="18" t="s">
        <v>237</v>
      </c>
    </row>
    <row r="1246" spans="1:9" ht="12.75">
      <c r="A1246" s="5"/>
      <c r="B1246" s="23"/>
      <c r="C1246" s="24"/>
      <c r="D1246" s="18"/>
      <c r="E1246" s="18" t="s">
        <v>14</v>
      </c>
      <c r="F1246" s="25">
        <f>AVERAGE(F1237:F1245)</f>
        <v>0.10816971135699399</v>
      </c>
      <c r="G1246" s="24">
        <f>AVERAGE(G1237:G1245)</f>
        <v>4.315061728395059</v>
      </c>
      <c r="H1246" s="18"/>
      <c r="I1246" s="18"/>
    </row>
    <row r="1247" spans="2:9" ht="12.75">
      <c r="B1247" s="20"/>
      <c r="C1247" s="21"/>
      <c r="D1247" s="16"/>
      <c r="E1247" s="16"/>
      <c r="F1247" s="22"/>
      <c r="G1247" s="21"/>
      <c r="H1247" s="16"/>
      <c r="I1247" s="16"/>
    </row>
    <row r="1248" spans="1:9" ht="12.75">
      <c r="A1248" s="69" t="s">
        <v>0</v>
      </c>
      <c r="B1248" s="69" t="s">
        <v>1</v>
      </c>
      <c r="C1248" s="70" t="s">
        <v>238</v>
      </c>
      <c r="D1248" s="70" t="s">
        <v>73</v>
      </c>
      <c r="E1248" s="70" t="s">
        <v>3</v>
      </c>
      <c r="F1248" s="70" t="s">
        <v>5</v>
      </c>
      <c r="G1248" s="70" t="s">
        <v>6</v>
      </c>
      <c r="H1248" s="70" t="s">
        <v>7</v>
      </c>
      <c r="I1248" s="70" t="s">
        <v>8</v>
      </c>
    </row>
    <row r="1249" spans="1:9" ht="12.75">
      <c r="A1249" s="69" t="s">
        <v>236</v>
      </c>
      <c r="B1249" s="69" t="s">
        <v>105</v>
      </c>
      <c r="C1249" s="71">
        <f>(5/4)^1.83*E1249</f>
        <v>51.58373787634662</v>
      </c>
      <c r="D1249" s="70">
        <v>49.62</v>
      </c>
      <c r="E1249" s="70">
        <v>34.29</v>
      </c>
      <c r="F1249" s="72">
        <f>-((D1249-C1249)/D1249)</f>
        <v>0.03957553156684039</v>
      </c>
      <c r="G1249" s="71">
        <f>C1249-D1249</f>
        <v>1.9637378763466202</v>
      </c>
      <c r="H1249" s="70">
        <v>970</v>
      </c>
      <c r="I1249" s="70" t="s">
        <v>237</v>
      </c>
    </row>
    <row r="1250" spans="2:9" ht="12.75">
      <c r="B1250" s="69" t="s">
        <v>84</v>
      </c>
      <c r="C1250" s="71">
        <f>(5/4)^1.83*E1250</f>
        <v>42.106410707464036</v>
      </c>
      <c r="D1250" s="70">
        <v>41.55</v>
      </c>
      <c r="E1250" s="70">
        <v>27.99</v>
      </c>
      <c r="F1250" s="72">
        <f>-((D1250-C1250)/D1250)</f>
        <v>0.013391352766884213</v>
      </c>
      <c r="G1250" s="71">
        <f>C1250-D1250</f>
        <v>0.556410707464039</v>
      </c>
      <c r="H1250" s="70">
        <v>970</v>
      </c>
      <c r="I1250" s="70" t="s">
        <v>237</v>
      </c>
    </row>
    <row r="1251" spans="2:9" ht="12.75">
      <c r="B1251" s="69" t="s">
        <v>71</v>
      </c>
      <c r="C1251" s="71">
        <f>(5/4)^1.83*E1251</f>
        <v>36.841228946973715</v>
      </c>
      <c r="D1251" s="70">
        <v>36.66</v>
      </c>
      <c r="E1251" s="70">
        <v>24.49</v>
      </c>
      <c r="F1251" s="72">
        <f>-((D1251-C1251)/D1251)</f>
        <v>0.004943506464094874</v>
      </c>
      <c r="G1251" s="71">
        <f>C1251-D1251</f>
        <v>0.18122894697371805</v>
      </c>
      <c r="H1251" s="70">
        <v>970</v>
      </c>
      <c r="I1251" s="70" t="s">
        <v>237</v>
      </c>
    </row>
    <row r="1252" spans="2:9" ht="12.75">
      <c r="B1252" s="69" t="s">
        <v>50</v>
      </c>
      <c r="C1252" s="71">
        <f>(5/4)^1.83*E1252</f>
        <v>51.2678269707172</v>
      </c>
      <c r="D1252" s="70">
        <v>50.28</v>
      </c>
      <c r="E1252" s="70">
        <v>34.08</v>
      </c>
      <c r="F1252" s="72">
        <f>-((D1252-C1252)/D1252)</f>
        <v>0.019646518908456662</v>
      </c>
      <c r="G1252" s="71">
        <f>C1252-D1252</f>
        <v>0.9878269707172009</v>
      </c>
      <c r="H1252" s="70">
        <v>970</v>
      </c>
      <c r="I1252" s="70" t="s">
        <v>237</v>
      </c>
    </row>
    <row r="1253" spans="2:9" ht="12.75">
      <c r="B1253" s="69" t="s">
        <v>52</v>
      </c>
      <c r="C1253" s="71">
        <f>(5/4)^1.83*E1253</f>
        <v>39.95520787389228</v>
      </c>
      <c r="D1253" s="70">
        <v>41.46</v>
      </c>
      <c r="E1253" s="70">
        <v>26.56</v>
      </c>
      <c r="F1253" s="72">
        <f>-((D1253-C1253)/D1253)</f>
        <v>-0.036295034397195454</v>
      </c>
      <c r="G1253" s="71">
        <f>C1253-D1253</f>
        <v>-1.5047921261077235</v>
      </c>
      <c r="H1253" s="70">
        <v>970</v>
      </c>
      <c r="I1253" s="70" t="s">
        <v>237</v>
      </c>
    </row>
    <row r="1254" spans="2:9" ht="12.75">
      <c r="B1254" s="69" t="s">
        <v>51</v>
      </c>
      <c r="C1254" s="71">
        <f>(5/4)^1.83*E1254</f>
        <v>25.333045956187725</v>
      </c>
      <c r="D1254" s="70">
        <v>26.19</v>
      </c>
      <c r="E1254" s="70">
        <v>16.84</v>
      </c>
      <c r="F1254" s="72">
        <f>-((D1254-C1254)/D1254)</f>
        <v>-0.03272065841207623</v>
      </c>
      <c r="G1254" s="71">
        <f>C1254-D1254</f>
        <v>-0.8569540438122765</v>
      </c>
      <c r="H1254" s="70">
        <v>970</v>
      </c>
      <c r="I1254" s="70" t="s">
        <v>237</v>
      </c>
    </row>
    <row r="1255" spans="2:9" ht="12.75">
      <c r="B1255" s="69" t="s">
        <v>67</v>
      </c>
      <c r="C1255" s="71">
        <f>(5/4)^1.83*E1255</f>
        <v>22.459761052605863</v>
      </c>
      <c r="D1255" s="70">
        <v>22.6</v>
      </c>
      <c r="E1255" s="70">
        <v>14.93</v>
      </c>
      <c r="F1255" s="72">
        <f>-((D1255-C1255)/D1255)</f>
        <v>-0.006205263159032669</v>
      </c>
      <c r="G1255" s="71">
        <f>C1255-D1255</f>
        <v>-0.14023894739413834</v>
      </c>
      <c r="H1255" s="70">
        <v>970</v>
      </c>
      <c r="I1255" s="70" t="s">
        <v>237</v>
      </c>
    </row>
    <row r="1256" spans="1:9" ht="12.75">
      <c r="A1256" s="5"/>
      <c r="B1256" s="17"/>
      <c r="C1256" s="17"/>
      <c r="D1256" s="18"/>
      <c r="E1256" s="70" t="s">
        <v>14</v>
      </c>
      <c r="F1256" s="72">
        <f>AVERAGE(F1249:F1255)</f>
        <v>0.0003337076768531128</v>
      </c>
      <c r="G1256" s="71">
        <f>AVERAGE(G1249:G1255)</f>
        <v>0.16960276916963427</v>
      </c>
      <c r="H1256" s="18"/>
      <c r="I1256" s="5"/>
    </row>
    <row r="1257" spans="1:9" ht="12.75">
      <c r="A1257" s="5"/>
      <c r="B1257" s="17"/>
      <c r="C1257" s="17"/>
      <c r="D1257" s="18"/>
      <c r="E1257" s="70"/>
      <c r="F1257" s="72"/>
      <c r="G1257" s="71"/>
      <c r="H1257" s="18"/>
      <c r="I1257" s="5"/>
    </row>
    <row r="1258" spans="1:9" ht="12.75">
      <c r="A1258" s="73" t="s">
        <v>0</v>
      </c>
      <c r="B1258" s="73" t="s">
        <v>1</v>
      </c>
      <c r="C1258" s="74" t="s">
        <v>219</v>
      </c>
      <c r="D1258" s="74" t="s">
        <v>73</v>
      </c>
      <c r="E1258" s="74" t="s">
        <v>3</v>
      </c>
      <c r="F1258" s="74" t="s">
        <v>5</v>
      </c>
      <c r="G1258" s="74" t="s">
        <v>6</v>
      </c>
      <c r="H1258" s="74" t="s">
        <v>7</v>
      </c>
      <c r="I1258" s="74" t="s">
        <v>8</v>
      </c>
    </row>
    <row r="1259" spans="1:9" ht="12.75">
      <c r="A1259" s="73" t="s">
        <v>236</v>
      </c>
      <c r="B1259" s="73" t="s">
        <v>105</v>
      </c>
      <c r="C1259" s="75">
        <f>(5/4)^2*E1259</f>
        <v>53.578125</v>
      </c>
      <c r="D1259" s="74">
        <v>49.62</v>
      </c>
      <c r="E1259" s="74">
        <v>34.29</v>
      </c>
      <c r="F1259" s="76">
        <f>-((D1259-C1259)/D1259)</f>
        <v>0.07976874244256354</v>
      </c>
      <c r="G1259" s="75">
        <f>C1259-D1259</f>
        <v>3.9581250000000026</v>
      </c>
      <c r="H1259" s="74">
        <v>970</v>
      </c>
      <c r="I1259" s="74" t="s">
        <v>237</v>
      </c>
    </row>
    <row r="1260" spans="1:9" ht="12.75">
      <c r="A1260" s="5"/>
      <c r="B1260" s="73" t="s">
        <v>84</v>
      </c>
      <c r="C1260" s="75">
        <f>(5/4)^2*E1260</f>
        <v>43.734375</v>
      </c>
      <c r="D1260" s="74">
        <v>41.55</v>
      </c>
      <c r="E1260" s="74">
        <v>27.99</v>
      </c>
      <c r="F1260" s="76">
        <f>-((D1260-C1260)/D1260)</f>
        <v>0.052572202166065056</v>
      </c>
      <c r="G1260" s="75">
        <f>C1260-D1260</f>
        <v>2.184375000000003</v>
      </c>
      <c r="H1260" s="74">
        <v>970</v>
      </c>
      <c r="I1260" s="74" t="s">
        <v>237</v>
      </c>
    </row>
    <row r="1261" spans="1:9" ht="12.75">
      <c r="A1261" s="5"/>
      <c r="B1261" s="73" t="s">
        <v>71</v>
      </c>
      <c r="C1261" s="75">
        <f>(5/4)^2*E1261</f>
        <v>38.265625</v>
      </c>
      <c r="D1261" s="74">
        <v>36.66</v>
      </c>
      <c r="E1261" s="74">
        <v>24.49</v>
      </c>
      <c r="F1261" s="76">
        <f>-((D1261-C1261)/D1261)</f>
        <v>0.043797735951991365</v>
      </c>
      <c r="G1261" s="75">
        <f>C1261-D1261</f>
        <v>1.6056250000000034</v>
      </c>
      <c r="H1261" s="74">
        <v>970</v>
      </c>
      <c r="I1261" s="74" t="s">
        <v>237</v>
      </c>
    </row>
    <row r="1262" spans="1:9" ht="12.75">
      <c r="A1262" s="5"/>
      <c r="B1262" s="73" t="s">
        <v>50</v>
      </c>
      <c r="C1262" s="75">
        <f>(5/4)^2*E1262</f>
        <v>53.25</v>
      </c>
      <c r="D1262" s="74">
        <v>50.28</v>
      </c>
      <c r="E1262" s="74">
        <v>34.08</v>
      </c>
      <c r="F1262" s="76">
        <f>-((D1262-C1262)/D1262)</f>
        <v>0.05906921241050117</v>
      </c>
      <c r="G1262" s="75">
        <f>C1262-D1262</f>
        <v>2.969999999999999</v>
      </c>
      <c r="H1262" s="74">
        <v>970</v>
      </c>
      <c r="I1262" s="74" t="s">
        <v>237</v>
      </c>
    </row>
    <row r="1263" spans="1:9" ht="12.75">
      <c r="A1263" s="5"/>
      <c r="B1263" s="73" t="s">
        <v>52</v>
      </c>
      <c r="C1263" s="75">
        <f>(5/4)^2*E1263</f>
        <v>41.5</v>
      </c>
      <c r="D1263" s="74">
        <v>41.46</v>
      </c>
      <c r="E1263" s="74">
        <v>26.56</v>
      </c>
      <c r="F1263" s="76">
        <f>-((D1263-C1263)/D1263)</f>
        <v>0.0009647853352628834</v>
      </c>
      <c r="G1263" s="75">
        <f>C1263-D1263</f>
        <v>0.03999999999999915</v>
      </c>
      <c r="H1263" s="74">
        <v>970</v>
      </c>
      <c r="I1263" s="74" t="s">
        <v>237</v>
      </c>
    </row>
    <row r="1264" spans="1:9" ht="12.75">
      <c r="A1264" s="5"/>
      <c r="B1264" s="73" t="s">
        <v>51</v>
      </c>
      <c r="C1264" s="75">
        <f>(5/4)^2*E1264</f>
        <v>26.3125</v>
      </c>
      <c r="D1264" s="74">
        <v>26.19</v>
      </c>
      <c r="E1264" s="74">
        <v>16.84</v>
      </c>
      <c r="F1264" s="76">
        <f>-((D1264-C1264)/D1264)</f>
        <v>0.004677357770141226</v>
      </c>
      <c r="G1264" s="75">
        <f>C1264-D1264</f>
        <v>0.12249999999999872</v>
      </c>
      <c r="H1264" s="74">
        <v>970</v>
      </c>
      <c r="I1264" s="74" t="s">
        <v>237</v>
      </c>
    </row>
    <row r="1265" spans="1:9" ht="12.75">
      <c r="A1265" s="5"/>
      <c r="B1265" s="73" t="s">
        <v>67</v>
      </c>
      <c r="C1265" s="75">
        <f>(5/4)^2*E1265</f>
        <v>23.328125</v>
      </c>
      <c r="D1265" s="74">
        <v>22.6</v>
      </c>
      <c r="E1265" s="74">
        <v>14.93</v>
      </c>
      <c r="F1265" s="76">
        <f>-((D1265-C1265)/D1265)</f>
        <v>0.032217920353982236</v>
      </c>
      <c r="G1265" s="75">
        <f>C1265-D1265</f>
        <v>0.7281249999999986</v>
      </c>
      <c r="H1265" s="74">
        <v>970</v>
      </c>
      <c r="I1265" s="74" t="s">
        <v>237</v>
      </c>
    </row>
    <row r="1266" spans="1:9" ht="12.75">
      <c r="A1266" s="5"/>
      <c r="B1266" s="17"/>
      <c r="C1266" s="17"/>
      <c r="D1266" s="18"/>
      <c r="E1266" s="74" t="s">
        <v>14</v>
      </c>
      <c r="F1266" s="76">
        <f>AVERAGE(F1259:F1265)</f>
        <v>0.03900970806150107</v>
      </c>
      <c r="G1266" s="75">
        <f>AVERAGE(G1259:G1265)</f>
        <v>1.6583928571428577</v>
      </c>
      <c r="H1266" s="18"/>
      <c r="I1266" s="5"/>
    </row>
    <row r="1267" spans="1:9" ht="12.75">
      <c r="A1267" s="5"/>
      <c r="B1267" s="17"/>
      <c r="C1267" s="17"/>
      <c r="D1267" s="18"/>
      <c r="E1267" s="74"/>
      <c r="F1267" s="76"/>
      <c r="G1267" s="75"/>
      <c r="H1267" s="18"/>
      <c r="I1267" s="5"/>
    </row>
    <row r="1268" spans="1:9" ht="12.75">
      <c r="A1268" s="20" t="s">
        <v>0</v>
      </c>
      <c r="B1268" s="20" t="s">
        <v>1</v>
      </c>
      <c r="C1268" s="16" t="s">
        <v>239</v>
      </c>
      <c r="D1268" s="16" t="s">
        <v>73</v>
      </c>
      <c r="E1268" s="16" t="s">
        <v>3</v>
      </c>
      <c r="F1268" s="16" t="s">
        <v>5</v>
      </c>
      <c r="G1268" s="16" t="s">
        <v>6</v>
      </c>
      <c r="H1268" s="16" t="s">
        <v>7</v>
      </c>
      <c r="I1268" s="16" t="s">
        <v>8</v>
      </c>
    </row>
    <row r="1269" spans="1:9" ht="12.75">
      <c r="A1269" s="20" t="s">
        <v>240</v>
      </c>
      <c r="B1269" s="20" t="s">
        <v>96</v>
      </c>
      <c r="C1269" s="21">
        <f>(4/3)^1.59*E1269</f>
        <v>27.839311810391646</v>
      </c>
      <c r="D1269" s="16">
        <v>27.58</v>
      </c>
      <c r="E1269" s="16">
        <v>17.62</v>
      </c>
      <c r="F1269" s="22">
        <f>-((D1269-C1269)/D1269)</f>
        <v>0.009402168614635512</v>
      </c>
      <c r="G1269" s="21">
        <f>C1269-D1269</f>
        <v>0.2593118103916474</v>
      </c>
      <c r="H1269" s="16">
        <v>840</v>
      </c>
      <c r="I1269" s="16" t="s">
        <v>241</v>
      </c>
    </row>
    <row r="1270" spans="1:9" ht="12.75">
      <c r="A1270" s="20"/>
      <c r="B1270" s="20" t="s">
        <v>242</v>
      </c>
      <c r="C1270" s="21">
        <f>(4/3)^1.59*E1270</f>
        <v>43.291551850438765</v>
      </c>
      <c r="D1270" s="16">
        <v>41.58</v>
      </c>
      <c r="E1270" s="16">
        <v>27.4</v>
      </c>
      <c r="F1270" s="22">
        <f>-((D1270-C1270)/D1270)</f>
        <v>0.041162863165915504</v>
      </c>
      <c r="G1270" s="21">
        <f>C1270-D1270</f>
        <v>1.7115518504387666</v>
      </c>
      <c r="H1270" s="16">
        <v>840</v>
      </c>
      <c r="I1270" s="16" t="s">
        <v>241</v>
      </c>
    </row>
    <row r="1271" spans="1:9" ht="12.75">
      <c r="A1271" s="20"/>
      <c r="B1271" s="20" t="s">
        <v>148</v>
      </c>
      <c r="C1271" s="21">
        <f>(4/3)^1.59*E1271</f>
        <v>34.317244751515695</v>
      </c>
      <c r="D1271" s="16">
        <v>35.11</v>
      </c>
      <c r="E1271" s="16">
        <v>21.72</v>
      </c>
      <c r="F1271" s="22">
        <f>-((D1271-C1271)/D1271)</f>
        <v>-0.022579186798185838</v>
      </c>
      <c r="G1271" s="21">
        <f>C1271-D1271</f>
        <v>-0.7927552484843048</v>
      </c>
      <c r="H1271" s="16">
        <v>840</v>
      </c>
      <c r="I1271" s="16" t="s">
        <v>241</v>
      </c>
    </row>
    <row r="1272" spans="1:9" ht="12.75">
      <c r="A1272" s="20"/>
      <c r="B1272" s="20" t="s">
        <v>243</v>
      </c>
      <c r="C1272" s="21">
        <f>(4/3)^1.59*E1272</f>
        <v>43.89194563522587</v>
      </c>
      <c r="D1272" s="16">
        <v>41.2</v>
      </c>
      <c r="E1272" s="16">
        <v>27.78</v>
      </c>
      <c r="F1272" s="22">
        <f>-((D1272-C1272)/D1272)</f>
        <v>0.06533848629189005</v>
      </c>
      <c r="G1272" s="21">
        <f>C1272-D1272</f>
        <v>2.6919456352258706</v>
      </c>
      <c r="H1272" s="16">
        <v>840</v>
      </c>
      <c r="I1272" s="16" t="s">
        <v>241</v>
      </c>
    </row>
    <row r="1273" spans="1:9" ht="12.75">
      <c r="A1273" s="20"/>
      <c r="B1273" s="20" t="s">
        <v>244</v>
      </c>
      <c r="C1273" s="21">
        <f>(4/3)^1.59*E1273</f>
        <v>36.73461972710589</v>
      </c>
      <c r="D1273" s="16">
        <v>36.74</v>
      </c>
      <c r="E1273" s="16">
        <v>23.25</v>
      </c>
      <c r="F1273" s="22">
        <f>-((D1273-C1273)/D1273)</f>
        <v>-0.00014644183163078453</v>
      </c>
      <c r="G1273" s="21">
        <f>C1273-D1273</f>
        <v>-0.0053802728941150235</v>
      </c>
      <c r="H1273" s="16">
        <v>840</v>
      </c>
      <c r="I1273" s="16" t="s">
        <v>241</v>
      </c>
    </row>
    <row r="1274" spans="1:9" ht="12.75">
      <c r="A1274" s="20"/>
      <c r="B1274" s="20" t="s">
        <v>122</v>
      </c>
      <c r="C1274" s="21">
        <f>(4/3)^1.59*E1274</f>
        <v>34.57004213458395</v>
      </c>
      <c r="D1274" s="16">
        <v>34.53</v>
      </c>
      <c r="E1274" s="16">
        <v>21.88</v>
      </c>
      <c r="F1274" s="22">
        <f>-((D1274-C1274)/D1274)</f>
        <v>0.0011596332054430642</v>
      </c>
      <c r="G1274" s="21">
        <f>C1274-D1274</f>
        <v>0.04004213458394901</v>
      </c>
      <c r="H1274" s="16">
        <v>840</v>
      </c>
      <c r="I1274" s="16" t="s">
        <v>241</v>
      </c>
    </row>
    <row r="1275" spans="1:9" ht="12.75">
      <c r="A1275" s="20"/>
      <c r="B1275" s="20" t="s">
        <v>97</v>
      </c>
      <c r="C1275" s="21">
        <f>(4/3)^1.59*E1275</f>
        <v>31.69447190218254</v>
      </c>
      <c r="D1275" s="16">
        <v>32</v>
      </c>
      <c r="E1275" s="16">
        <v>20.06</v>
      </c>
      <c r="F1275" s="22">
        <f>-((D1275-C1275)/D1275)</f>
        <v>-0.009547753056795671</v>
      </c>
      <c r="G1275" s="21">
        <f>C1275-D1275</f>
        <v>-0.3055280978174615</v>
      </c>
      <c r="H1275" s="16">
        <v>840</v>
      </c>
      <c r="I1275" s="16" t="s">
        <v>241</v>
      </c>
    </row>
    <row r="1276" spans="1:9" ht="12.75">
      <c r="A1276" s="20"/>
      <c r="B1276" s="20" t="s">
        <v>98</v>
      </c>
      <c r="C1276" s="21">
        <f>(4/3)^1.59*E1276</f>
        <v>26.74912309590979</v>
      </c>
      <c r="D1276" s="16">
        <v>27.57</v>
      </c>
      <c r="E1276" s="16">
        <v>16.93</v>
      </c>
      <c r="F1276" s="22">
        <f>-((D1276-C1276)/D1276)</f>
        <v>-0.029774280162865763</v>
      </c>
      <c r="G1276" s="21">
        <f>C1276-D1276</f>
        <v>-0.8208769040902091</v>
      </c>
      <c r="H1276" s="16">
        <v>840</v>
      </c>
      <c r="I1276" s="16" t="s">
        <v>241</v>
      </c>
    </row>
    <row r="1277" spans="1:9" ht="12.75">
      <c r="A1277" s="20"/>
      <c r="B1277" s="20" t="s">
        <v>101</v>
      </c>
      <c r="C1277" s="21">
        <f>(4/3)^1.59*E1277</f>
        <v>36.79781907287295</v>
      </c>
      <c r="D1277" s="16">
        <v>35.47</v>
      </c>
      <c r="E1277" s="16">
        <v>23.29</v>
      </c>
      <c r="F1277" s="22">
        <f>-((D1277-C1277)/D1277)</f>
        <v>0.03743498936771775</v>
      </c>
      <c r="G1277" s="21">
        <f>C1277-D1277</f>
        <v>1.3278190728729484</v>
      </c>
      <c r="H1277" s="16">
        <v>840</v>
      </c>
      <c r="I1277" s="16" t="s">
        <v>241</v>
      </c>
    </row>
    <row r="1278" spans="1:9" ht="12.75">
      <c r="A1278" s="20"/>
      <c r="B1278" s="20" t="s">
        <v>103</v>
      </c>
      <c r="C1278" s="21">
        <f>(4/3)^1.59*E1278</f>
        <v>24.78994337713081</v>
      </c>
      <c r="D1278" s="16">
        <v>25.37</v>
      </c>
      <c r="E1278" s="16">
        <v>15.69</v>
      </c>
      <c r="F1278" s="22">
        <f>-((D1278-C1278)/D1278)</f>
        <v>-0.02286387949819432</v>
      </c>
      <c r="G1278" s="21">
        <f>C1278-D1278</f>
        <v>-0.5800566228691899</v>
      </c>
      <c r="H1278" s="16">
        <v>840</v>
      </c>
      <c r="I1278" s="16" t="s">
        <v>241</v>
      </c>
    </row>
    <row r="1279" spans="1:9" ht="12.75">
      <c r="A1279" s="20"/>
      <c r="B1279" s="20" t="s">
        <v>107</v>
      </c>
      <c r="C1279" s="21">
        <f>(4/3)^1.59*E1279</f>
        <v>29.182297907941752</v>
      </c>
      <c r="D1279" s="16">
        <v>28.43</v>
      </c>
      <c r="E1279" s="16">
        <v>18.47</v>
      </c>
      <c r="F1279" s="22">
        <f>-((D1279-C1279)/D1279)</f>
        <v>0.02646141076122942</v>
      </c>
      <c r="G1279" s="21">
        <f>C1279-D1279</f>
        <v>0.7522979079417524</v>
      </c>
      <c r="H1279" s="16">
        <v>840</v>
      </c>
      <c r="I1279" s="16" t="s">
        <v>241</v>
      </c>
    </row>
    <row r="1280" spans="1:9" ht="12.75">
      <c r="A1280" s="20"/>
      <c r="B1280" s="20" t="s">
        <v>83</v>
      </c>
      <c r="C1280" s="21">
        <f>(4/3)^1.59*E1280</f>
        <v>23.478556952464235</v>
      </c>
      <c r="D1280" s="16">
        <v>25.09</v>
      </c>
      <c r="E1280" s="16">
        <v>14.86</v>
      </c>
      <c r="F1280" s="22">
        <f>-((D1280-C1280)/D1280)</f>
        <v>-0.06422650647810942</v>
      </c>
      <c r="G1280" s="21">
        <f>C1280-D1280</f>
        <v>-1.611443047535765</v>
      </c>
      <c r="H1280" s="16">
        <v>840</v>
      </c>
      <c r="I1280" s="16" t="s">
        <v>241</v>
      </c>
    </row>
    <row r="1281" spans="1:8" ht="12.75">
      <c r="A1281" s="20"/>
      <c r="B1281" s="20"/>
      <c r="C1281" s="21"/>
      <c r="D1281" s="16"/>
      <c r="E1281" s="16" t="s">
        <v>14</v>
      </c>
      <c r="F1281" s="22">
        <f>AVERAGE(F1269:F1280)</f>
        <v>0.002651791965087457</v>
      </c>
      <c r="G1281" s="21">
        <f>AVERAGE(G1269:G1280)</f>
        <v>0.22224401814699077</v>
      </c>
      <c r="H1281" s="16"/>
    </row>
    <row r="1282" spans="1:8" ht="12.75">
      <c r="A1282" s="20"/>
      <c r="B1282" s="20"/>
      <c r="C1282" s="21"/>
      <c r="D1282" s="16"/>
      <c r="E1282" s="16"/>
      <c r="F1282" s="22"/>
      <c r="G1282" s="21"/>
      <c r="H1282" s="16"/>
    </row>
    <row r="1283" spans="1:9" ht="12.75">
      <c r="A1283" s="23" t="s">
        <v>0</v>
      </c>
      <c r="B1283" s="23" t="s">
        <v>1</v>
      </c>
      <c r="C1283" s="18" t="s">
        <v>74</v>
      </c>
      <c r="D1283" s="18" t="s">
        <v>73</v>
      </c>
      <c r="E1283" s="18" t="s">
        <v>3</v>
      </c>
      <c r="F1283" s="18" t="s">
        <v>5</v>
      </c>
      <c r="G1283" s="18" t="s">
        <v>6</v>
      </c>
      <c r="H1283" s="18" t="s">
        <v>7</v>
      </c>
      <c r="I1283" s="18" t="s">
        <v>8</v>
      </c>
    </row>
    <row r="1284" spans="1:9" ht="12.75">
      <c r="A1284" s="23" t="s">
        <v>240</v>
      </c>
      <c r="B1284" s="23" t="s">
        <v>96</v>
      </c>
      <c r="C1284" s="24">
        <f>(4/3)^2*E1284</f>
        <v>31.324444444444445</v>
      </c>
      <c r="D1284" s="18">
        <v>27.58</v>
      </c>
      <c r="E1284" s="18">
        <v>17.62</v>
      </c>
      <c r="F1284" s="25">
        <f>-((D1284-C1284)/D1284)</f>
        <v>0.13576665860929832</v>
      </c>
      <c r="G1284" s="24">
        <f>C1284-D1284</f>
        <v>3.744444444444447</v>
      </c>
      <c r="H1284" s="18">
        <v>840</v>
      </c>
      <c r="I1284" s="18" t="s">
        <v>241</v>
      </c>
    </row>
    <row r="1285" spans="1:9" ht="12.75">
      <c r="A1285" s="23"/>
      <c r="B1285" s="23" t="s">
        <v>242</v>
      </c>
      <c r="C1285" s="24">
        <f>(4/3)^2*E1285</f>
        <v>48.71111111111111</v>
      </c>
      <c r="D1285" s="18">
        <v>41.58</v>
      </c>
      <c r="E1285" s="18">
        <v>27.4</v>
      </c>
      <c r="F1285" s="25">
        <f>-((D1285-C1285)/D1285)</f>
        <v>0.17150339372561593</v>
      </c>
      <c r="G1285" s="24">
        <f>C1285-D1285</f>
        <v>7.13111111111111</v>
      </c>
      <c r="H1285" s="18">
        <v>840</v>
      </c>
      <c r="I1285" s="18" t="s">
        <v>241</v>
      </c>
    </row>
    <row r="1286" spans="1:9" ht="12.75">
      <c r="A1286" s="23"/>
      <c r="B1286" s="23" t="s">
        <v>148</v>
      </c>
      <c r="C1286" s="24">
        <f>(4/3)^2*E1286</f>
        <v>38.61333333333333</v>
      </c>
      <c r="D1286" s="18">
        <v>35.11</v>
      </c>
      <c r="E1286" s="18">
        <v>21.72</v>
      </c>
      <c r="F1286" s="25">
        <f>-((D1286-C1286)/D1286)</f>
        <v>0.09978163865945117</v>
      </c>
      <c r="G1286" s="24">
        <f>C1286-D1286</f>
        <v>3.5033333333333303</v>
      </c>
      <c r="H1286" s="18">
        <v>840</v>
      </c>
      <c r="I1286" s="18" t="s">
        <v>241</v>
      </c>
    </row>
    <row r="1287" spans="1:9" ht="12.75">
      <c r="A1287" s="23"/>
      <c r="B1287" s="23" t="s">
        <v>243</v>
      </c>
      <c r="C1287" s="24">
        <f>(4/3)^2*E1287</f>
        <v>49.38666666666666</v>
      </c>
      <c r="D1287" s="18">
        <v>41.2</v>
      </c>
      <c r="E1287" s="18">
        <v>27.78</v>
      </c>
      <c r="F1287" s="25">
        <f>-((D1287-C1287)/D1287)</f>
        <v>0.1987055016181228</v>
      </c>
      <c r="G1287" s="24">
        <f>C1287-D1287</f>
        <v>8.18666666666666</v>
      </c>
      <c r="H1287" s="18">
        <v>840</v>
      </c>
      <c r="I1287" s="18" t="s">
        <v>241</v>
      </c>
    </row>
    <row r="1288" spans="1:9" ht="12.75">
      <c r="A1288" s="23"/>
      <c r="B1288" s="23" t="s">
        <v>244</v>
      </c>
      <c r="C1288" s="24">
        <f>(4/3)^2*E1288</f>
        <v>41.33333333333333</v>
      </c>
      <c r="D1288" s="18">
        <v>36.74</v>
      </c>
      <c r="E1288" s="18">
        <v>23.25</v>
      </c>
      <c r="F1288" s="25">
        <f>-((D1288-C1288)/D1288)</f>
        <v>0.12502268190890928</v>
      </c>
      <c r="G1288" s="24">
        <f>C1288-D1288</f>
        <v>4.593333333333327</v>
      </c>
      <c r="H1288" s="18">
        <v>840</v>
      </c>
      <c r="I1288" s="18" t="s">
        <v>241</v>
      </c>
    </row>
    <row r="1289" spans="1:9" ht="12.75">
      <c r="A1289" s="23"/>
      <c r="B1289" s="23" t="s">
        <v>122</v>
      </c>
      <c r="C1289" s="24">
        <f>(4/3)^2*E1289</f>
        <v>38.897777777777776</v>
      </c>
      <c r="D1289" s="18">
        <v>34.53</v>
      </c>
      <c r="E1289" s="18">
        <v>21.88</v>
      </c>
      <c r="F1289" s="25">
        <f>-((D1289-C1289)/D1289)</f>
        <v>0.12649226115776932</v>
      </c>
      <c r="G1289" s="24">
        <f>C1289-D1289</f>
        <v>4.367777777777775</v>
      </c>
      <c r="H1289" s="18">
        <v>840</v>
      </c>
      <c r="I1289" s="18" t="s">
        <v>241</v>
      </c>
    </row>
    <row r="1290" spans="1:9" ht="12.75">
      <c r="A1290" s="23"/>
      <c r="B1290" s="23" t="s">
        <v>97</v>
      </c>
      <c r="C1290" s="24">
        <f>(4/3)^2*E1290</f>
        <v>35.66222222222222</v>
      </c>
      <c r="D1290" s="18">
        <v>32</v>
      </c>
      <c r="E1290" s="18">
        <v>20.06</v>
      </c>
      <c r="F1290" s="25">
        <f>-((D1290-C1290)/D1290)</f>
        <v>0.11444444444444435</v>
      </c>
      <c r="G1290" s="24">
        <f>C1290-D1290</f>
        <v>3.662222222222219</v>
      </c>
      <c r="H1290" s="18">
        <v>840</v>
      </c>
      <c r="I1290" s="18" t="s">
        <v>241</v>
      </c>
    </row>
    <row r="1291" spans="1:9" ht="12.75">
      <c r="A1291" s="23"/>
      <c r="B1291" s="23" t="s">
        <v>98</v>
      </c>
      <c r="C1291" s="24">
        <f>(4/3)^2*E1291</f>
        <v>30.097777777777775</v>
      </c>
      <c r="D1291" s="18">
        <v>27.57</v>
      </c>
      <c r="E1291" s="18">
        <v>16.93</v>
      </c>
      <c r="F1291" s="25">
        <f>-((D1291-C1291)/D1291)</f>
        <v>0.09168580985773576</v>
      </c>
      <c r="G1291" s="24">
        <f>C1291-D1291</f>
        <v>2.527777777777775</v>
      </c>
      <c r="H1291" s="18">
        <v>840</v>
      </c>
      <c r="I1291" s="18" t="s">
        <v>241</v>
      </c>
    </row>
    <row r="1292" spans="1:9" ht="12.75">
      <c r="A1292" s="23"/>
      <c r="B1292" s="23" t="s">
        <v>101</v>
      </c>
      <c r="C1292" s="24">
        <f>(4/3)^2*E1292</f>
        <v>41.404444444444444</v>
      </c>
      <c r="D1292" s="18">
        <v>35.47</v>
      </c>
      <c r="E1292" s="18">
        <v>23.29</v>
      </c>
      <c r="F1292" s="25">
        <f>-((D1292-C1292)/D1292)</f>
        <v>0.1673088368887636</v>
      </c>
      <c r="G1292" s="24">
        <f>C1292-D1292</f>
        <v>5.934444444444445</v>
      </c>
      <c r="H1292" s="18">
        <v>840</v>
      </c>
      <c r="I1292" s="18" t="s">
        <v>241</v>
      </c>
    </row>
    <row r="1293" spans="1:9" ht="12.75">
      <c r="A1293" s="23"/>
      <c r="B1293" s="23" t="s">
        <v>103</v>
      </c>
      <c r="C1293" s="24">
        <f>(4/3)^2*E1293</f>
        <v>27.89333333333333</v>
      </c>
      <c r="D1293" s="18">
        <v>25.37</v>
      </c>
      <c r="E1293" s="18">
        <v>15.69</v>
      </c>
      <c r="F1293" s="25">
        <f>-((D1293-C1293)/D1293)</f>
        <v>0.09946130600446708</v>
      </c>
      <c r="G1293" s="24">
        <f>C1293-D1293</f>
        <v>2.52333333333333</v>
      </c>
      <c r="H1293" s="18">
        <v>840</v>
      </c>
      <c r="I1293" s="18" t="s">
        <v>241</v>
      </c>
    </row>
    <row r="1294" spans="1:9" ht="12.75">
      <c r="A1294" s="23"/>
      <c r="B1294" s="23" t="s">
        <v>107</v>
      </c>
      <c r="C1294" s="24">
        <f>(4/3)^2*E1294</f>
        <v>32.83555555555555</v>
      </c>
      <c r="D1294" s="18">
        <v>28.43</v>
      </c>
      <c r="E1294" s="18">
        <v>18.47</v>
      </c>
      <c r="F1294" s="25">
        <f>-((D1294-C1294)/D1294)</f>
        <v>0.15496150388869334</v>
      </c>
      <c r="G1294" s="24">
        <f>C1294-D1294</f>
        <v>4.4055555555555515</v>
      </c>
      <c r="H1294" s="18">
        <v>840</v>
      </c>
      <c r="I1294" s="18" t="s">
        <v>241</v>
      </c>
    </row>
    <row r="1295" spans="1:9" ht="12.75">
      <c r="A1295" s="23"/>
      <c r="B1295" s="23" t="s">
        <v>83</v>
      </c>
      <c r="C1295" s="24">
        <f>(4/3)^2*E1295</f>
        <v>26.417777777777776</v>
      </c>
      <c r="D1295" s="18">
        <v>25.09</v>
      </c>
      <c r="E1295" s="18">
        <v>14.86</v>
      </c>
      <c r="F1295" s="25">
        <f>-((D1295-C1295)/D1295)</f>
        <v>0.05292059696204766</v>
      </c>
      <c r="G1295" s="24">
        <f>C1295-D1295</f>
        <v>1.3277777777777757</v>
      </c>
      <c r="H1295" s="18">
        <v>840</v>
      </c>
      <c r="I1295" s="18" t="s">
        <v>241</v>
      </c>
    </row>
    <row r="1296" spans="1:9" ht="12.75">
      <c r="A1296" s="23"/>
      <c r="B1296" s="23"/>
      <c r="C1296" s="24"/>
      <c r="D1296" s="18"/>
      <c r="E1296" s="18" t="s">
        <v>14</v>
      </c>
      <c r="F1296" s="25">
        <f>AVERAGE(F1284:F1295)</f>
        <v>0.12817121947710988</v>
      </c>
      <c r="G1296" s="24">
        <f>AVERAGE(G1284:G1295)</f>
        <v>4.325648148148146</v>
      </c>
      <c r="H1296" s="18"/>
      <c r="I1296" s="5"/>
    </row>
    <row r="1298" spans="1:9" ht="12.75">
      <c r="A1298" s="69" t="s">
        <v>0</v>
      </c>
      <c r="B1298" s="69" t="s">
        <v>1</v>
      </c>
      <c r="C1298" s="70" t="s">
        <v>245</v>
      </c>
      <c r="D1298" s="70" t="s">
        <v>218</v>
      </c>
      <c r="E1298" s="70" t="s">
        <v>73</v>
      </c>
      <c r="F1298" s="70" t="s">
        <v>5</v>
      </c>
      <c r="G1298" s="70" t="s">
        <v>6</v>
      </c>
      <c r="H1298" s="70" t="s">
        <v>7</v>
      </c>
      <c r="I1298" s="70" t="s">
        <v>8</v>
      </c>
    </row>
    <row r="1299" spans="1:9" ht="12.75">
      <c r="A1299" s="69" t="s">
        <v>240</v>
      </c>
      <c r="B1299" s="69" t="s">
        <v>103</v>
      </c>
      <c r="C1299" s="71">
        <f>(5/4)^1.73*E1299</f>
        <v>37.322849170011565</v>
      </c>
      <c r="D1299" s="70">
        <v>36.43</v>
      </c>
      <c r="E1299" s="70">
        <v>25.37</v>
      </c>
      <c r="F1299" s="72">
        <f>-((D1299-C1299)/D1299)</f>
        <v>0.0245086239366337</v>
      </c>
      <c r="G1299" s="71">
        <f>C1299-D1299</f>
        <v>0.8928491700115657</v>
      </c>
      <c r="H1299" s="70">
        <v>840</v>
      </c>
      <c r="I1299" s="70" t="s">
        <v>241</v>
      </c>
    </row>
    <row r="1300" spans="2:9" ht="12.75">
      <c r="B1300" s="69" t="s">
        <v>104</v>
      </c>
      <c r="C1300" s="71">
        <f>(5/4)^1.73*E1300</f>
        <v>32.144432572516855</v>
      </c>
      <c r="D1300" s="70">
        <v>31.9</v>
      </c>
      <c r="E1300" s="70">
        <v>21.85</v>
      </c>
      <c r="F1300" s="72">
        <f>-((D1300-C1300)/D1300)</f>
        <v>0.0076624630883027215</v>
      </c>
      <c r="G1300" s="71">
        <f>C1300-D1300</f>
        <v>0.2444325725168568</v>
      </c>
      <c r="H1300" s="70">
        <v>840</v>
      </c>
      <c r="I1300" s="70" t="s">
        <v>241</v>
      </c>
    </row>
    <row r="1301" spans="2:9" ht="12.75">
      <c r="B1301" s="69" t="s">
        <v>105</v>
      </c>
      <c r="C1301" s="71">
        <f>(5/4)^1.73*E1301</f>
        <v>29.849452489536247</v>
      </c>
      <c r="D1301" s="70">
        <v>30.16</v>
      </c>
      <c r="E1301" s="70">
        <v>20.29</v>
      </c>
      <c r="F1301" s="72">
        <f>-((D1301-C1301)/D1301)</f>
        <v>-0.010296668118824693</v>
      </c>
      <c r="G1301" s="71">
        <f>C1301-D1301</f>
        <v>-0.31054751046375273</v>
      </c>
      <c r="H1301" s="70">
        <v>840</v>
      </c>
      <c r="I1301" s="70" t="s">
        <v>241</v>
      </c>
    </row>
    <row r="1302" spans="2:9" ht="12.75">
      <c r="B1302" s="69" t="s">
        <v>83</v>
      </c>
      <c r="C1302" s="71">
        <f>(5/4)^1.73*E1302</f>
        <v>36.91092966793812</v>
      </c>
      <c r="D1302" s="70">
        <v>36.74</v>
      </c>
      <c r="E1302" s="70">
        <v>25.09</v>
      </c>
      <c r="F1302" s="72">
        <f>-((D1302-C1302)/D1302)</f>
        <v>0.004652413389714704</v>
      </c>
      <c r="G1302" s="71">
        <f>C1302-D1302</f>
        <v>0.17092966793811826</v>
      </c>
      <c r="H1302" s="70">
        <v>840</v>
      </c>
      <c r="I1302" s="70" t="s">
        <v>241</v>
      </c>
    </row>
    <row r="1303" spans="2:9" ht="12.75">
      <c r="B1303" s="69" t="s">
        <v>84</v>
      </c>
      <c r="C1303" s="71">
        <f>(5/4)^1.73*E1303</f>
        <v>24.067868049719713</v>
      </c>
      <c r="D1303" s="70">
        <v>24.57</v>
      </c>
      <c r="E1303" s="70">
        <v>16.36</v>
      </c>
      <c r="F1303" s="72">
        <f>-((D1303-C1303)/D1303)</f>
        <v>-0.020436790813198484</v>
      </c>
      <c r="G1303" s="71">
        <f>C1303-D1303</f>
        <v>-0.5021319502802868</v>
      </c>
      <c r="H1303" s="70">
        <v>840</v>
      </c>
      <c r="I1303" s="70" t="s">
        <v>241</v>
      </c>
    </row>
    <row r="1304" spans="2:9" ht="12.75">
      <c r="B1304" s="69" t="s">
        <v>50</v>
      </c>
      <c r="C1304" s="71">
        <f>(5/4)^1.73*E1304</f>
        <v>30.09954647293798</v>
      </c>
      <c r="D1304" s="70">
        <v>30.03</v>
      </c>
      <c r="E1304" s="70">
        <v>20.46</v>
      </c>
      <c r="F1304" s="72">
        <f>-((D1304-C1304)/D1304)</f>
        <v>0.002315899864734576</v>
      </c>
      <c r="G1304" s="71">
        <f>C1304-D1304</f>
        <v>0.06954647293797933</v>
      </c>
      <c r="H1304" s="70">
        <v>840</v>
      </c>
      <c r="I1304" s="70" t="s">
        <v>241</v>
      </c>
    </row>
    <row r="1305" spans="2:9" ht="12.75">
      <c r="B1305" s="69"/>
      <c r="C1305" s="71"/>
      <c r="D1305" s="70"/>
      <c r="E1305" s="70" t="s">
        <v>14</v>
      </c>
      <c r="F1305" s="72">
        <f>AVERAGE(F1299:F1304)</f>
        <v>0.0014009902245604208</v>
      </c>
      <c r="G1305" s="71">
        <f>AVERAGE(G1299:G1304)</f>
        <v>0.0941797371100801</v>
      </c>
      <c r="H1305" s="70"/>
      <c r="I1305" s="70"/>
    </row>
    <row r="1306" spans="2:9" ht="12.75">
      <c r="B1306" s="69"/>
      <c r="C1306" s="71"/>
      <c r="D1306" s="70"/>
      <c r="E1306" s="70"/>
      <c r="F1306" s="72"/>
      <c r="G1306" s="71"/>
      <c r="H1306" s="70"/>
      <c r="I1306" s="70"/>
    </row>
    <row r="1307" spans="1:9" ht="12.75">
      <c r="A1307" s="73" t="s">
        <v>0</v>
      </c>
      <c r="B1307" s="73" t="s">
        <v>1</v>
      </c>
      <c r="C1307" s="74" t="s">
        <v>219</v>
      </c>
      <c r="D1307" s="74" t="s">
        <v>218</v>
      </c>
      <c r="E1307" s="74" t="s">
        <v>73</v>
      </c>
      <c r="F1307" s="74" t="s">
        <v>5</v>
      </c>
      <c r="G1307" s="74" t="s">
        <v>6</v>
      </c>
      <c r="H1307" s="74" t="s">
        <v>7</v>
      </c>
      <c r="I1307" s="74" t="s">
        <v>8</v>
      </c>
    </row>
    <row r="1308" spans="1:9" ht="12.75">
      <c r="A1308" s="73" t="s">
        <v>240</v>
      </c>
      <c r="B1308" s="73" t="s">
        <v>103</v>
      </c>
      <c r="C1308" s="75">
        <f>(5/4)^2*E1308</f>
        <v>39.640625</v>
      </c>
      <c r="D1308" s="74">
        <v>36.43</v>
      </c>
      <c r="E1308" s="74">
        <v>25.37</v>
      </c>
      <c r="F1308" s="76">
        <f>-((D1308-C1308)/D1308)</f>
        <v>0.08813134779028274</v>
      </c>
      <c r="G1308" s="75">
        <f>C1308-D1308</f>
        <v>3.2106250000000003</v>
      </c>
      <c r="H1308" s="74">
        <v>840</v>
      </c>
      <c r="I1308" s="74" t="s">
        <v>241</v>
      </c>
    </row>
    <row r="1309" spans="1:9" ht="12.75">
      <c r="A1309" s="5"/>
      <c r="B1309" s="73" t="s">
        <v>104</v>
      </c>
      <c r="C1309" s="75">
        <f>(5/4)^2*E1309</f>
        <v>34.140625</v>
      </c>
      <c r="D1309" s="74">
        <v>31.9</v>
      </c>
      <c r="E1309" s="74">
        <v>21.85</v>
      </c>
      <c r="F1309" s="76">
        <f>-((D1309-C1309)/D1309)</f>
        <v>0.07023902821316619</v>
      </c>
      <c r="G1309" s="75">
        <f>C1309-D1309</f>
        <v>2.2406250000000014</v>
      </c>
      <c r="H1309" s="74">
        <v>840</v>
      </c>
      <c r="I1309" s="74" t="s">
        <v>241</v>
      </c>
    </row>
    <row r="1310" spans="1:9" ht="12.75">
      <c r="A1310" s="5"/>
      <c r="B1310" s="73" t="s">
        <v>105</v>
      </c>
      <c r="C1310" s="75">
        <f>(5/4)^2*E1310</f>
        <v>31.703125</v>
      </c>
      <c r="D1310" s="74">
        <v>30.16</v>
      </c>
      <c r="E1310" s="74">
        <v>20.29</v>
      </c>
      <c r="F1310" s="76">
        <f>-((D1310-C1310)/D1310)</f>
        <v>0.051164622015915116</v>
      </c>
      <c r="G1310" s="75">
        <f>C1310-D1310</f>
        <v>1.5431249999999999</v>
      </c>
      <c r="H1310" s="74">
        <v>840</v>
      </c>
      <c r="I1310" s="74" t="s">
        <v>241</v>
      </c>
    </row>
    <row r="1311" spans="1:9" ht="12.75">
      <c r="A1311" s="5"/>
      <c r="B1311" s="73" t="s">
        <v>83</v>
      </c>
      <c r="C1311" s="75">
        <f>(5/4)^2*E1311</f>
        <v>39.203125</v>
      </c>
      <c r="D1311" s="74">
        <v>36.74</v>
      </c>
      <c r="E1311" s="74">
        <v>25.09</v>
      </c>
      <c r="F1311" s="76">
        <f>-((D1311-C1311)/D1311)</f>
        <v>0.06704205225911807</v>
      </c>
      <c r="G1311" s="75">
        <f>C1311-D1311</f>
        <v>2.463124999999998</v>
      </c>
      <c r="H1311" s="74">
        <v>840</v>
      </c>
      <c r="I1311" s="74" t="s">
        <v>241</v>
      </c>
    </row>
    <row r="1312" spans="1:9" ht="12.75">
      <c r="A1312" s="5"/>
      <c r="B1312" s="73" t="s">
        <v>84</v>
      </c>
      <c r="C1312" s="75">
        <f>(5/4)^2*E1312</f>
        <v>25.5625</v>
      </c>
      <c r="D1312" s="74">
        <v>24.57</v>
      </c>
      <c r="E1312" s="74">
        <v>16.36</v>
      </c>
      <c r="F1312" s="76">
        <f>-((D1312-C1312)/D1312)</f>
        <v>0.04039479039479038</v>
      </c>
      <c r="G1312" s="75">
        <f>C1312-D1312</f>
        <v>0.9924999999999997</v>
      </c>
      <c r="H1312" s="74">
        <v>840</v>
      </c>
      <c r="I1312" s="74" t="s">
        <v>241</v>
      </c>
    </row>
    <row r="1313" spans="1:9" ht="12.75">
      <c r="A1313" s="5"/>
      <c r="B1313" s="73" t="s">
        <v>50</v>
      </c>
      <c r="C1313" s="75">
        <f>(5/4)^2*E1313</f>
        <v>31.96875</v>
      </c>
      <c r="D1313" s="74">
        <v>30.03</v>
      </c>
      <c r="E1313" s="74">
        <v>20.46</v>
      </c>
      <c r="F1313" s="76">
        <f>-((D1313-C1313)/D1313)</f>
        <v>0.06456043956043953</v>
      </c>
      <c r="G1313" s="75">
        <f>C1313-D1313</f>
        <v>1.9387499999999989</v>
      </c>
      <c r="H1313" s="74">
        <v>840</v>
      </c>
      <c r="I1313" s="74" t="s">
        <v>241</v>
      </c>
    </row>
    <row r="1314" spans="1:9" ht="12.75">
      <c r="A1314" s="5"/>
      <c r="B1314" s="73"/>
      <c r="C1314" s="75"/>
      <c r="D1314" s="74"/>
      <c r="E1314" s="74" t="s">
        <v>14</v>
      </c>
      <c r="F1314" s="76">
        <f>AVERAGE(F1308:F1313)</f>
        <v>0.06358871337228533</v>
      </c>
      <c r="G1314" s="75">
        <f>AVERAGE(G1308:G1313)</f>
        <v>2.0647916666666664</v>
      </c>
      <c r="H1314" s="74"/>
      <c r="I1314" s="74"/>
    </row>
    <row r="1315" ht="12.75">
      <c r="I1315" s="18"/>
    </row>
    <row r="1316" spans="1:9" ht="12.75">
      <c r="A1316" s="79" t="s">
        <v>0</v>
      </c>
      <c r="B1316" s="79" t="s">
        <v>1</v>
      </c>
      <c r="C1316" s="80" t="s">
        <v>246</v>
      </c>
      <c r="D1316" s="80" t="s">
        <v>194</v>
      </c>
      <c r="E1316" s="80" t="s">
        <v>218</v>
      </c>
      <c r="F1316" s="80" t="s">
        <v>5</v>
      </c>
      <c r="G1316" s="80" t="s">
        <v>6</v>
      </c>
      <c r="H1316" s="80" t="s">
        <v>7</v>
      </c>
      <c r="I1316" s="80" t="s">
        <v>8</v>
      </c>
    </row>
    <row r="1317" spans="1:9" ht="12.75">
      <c r="A1317" s="79" t="s">
        <v>240</v>
      </c>
      <c r="B1317" s="79" t="s">
        <v>105</v>
      </c>
      <c r="C1317" s="81">
        <f>(6/5)^1.88*E1317</f>
        <v>42.49052330095553</v>
      </c>
      <c r="D1317" s="80">
        <v>41.23</v>
      </c>
      <c r="E1317" s="80">
        <v>30.16</v>
      </c>
      <c r="F1317" s="82">
        <f>-((D1317-C1317)/D1317)</f>
        <v>0.030572963884441754</v>
      </c>
      <c r="G1317" s="81">
        <f>C1317-D1317</f>
        <v>1.2605233009555334</v>
      </c>
      <c r="H1317" s="80">
        <v>840</v>
      </c>
      <c r="I1317" s="80" t="s">
        <v>241</v>
      </c>
    </row>
    <row r="1318" spans="2:9" ht="12.75">
      <c r="B1318" s="79" t="s">
        <v>84</v>
      </c>
      <c r="C1318" s="81">
        <f>(6/5)^1.88*E1318</f>
        <v>34.61512458569222</v>
      </c>
      <c r="D1318" s="80">
        <v>34.42</v>
      </c>
      <c r="E1318" s="80">
        <v>24.57</v>
      </c>
      <c r="F1318" s="82">
        <f>-((D1318-C1318)/D1318)</f>
        <v>0.005668930438472397</v>
      </c>
      <c r="G1318" s="81">
        <f>C1318-D1318</f>
        <v>0.1951245856922199</v>
      </c>
      <c r="H1318" s="80">
        <v>840</v>
      </c>
      <c r="I1318" s="80" t="s">
        <v>241</v>
      </c>
    </row>
    <row r="1319" spans="2:9" ht="12.75">
      <c r="B1319" s="79" t="s">
        <v>71</v>
      </c>
      <c r="C1319" s="81">
        <f>(6/5)^1.88*E1319</f>
        <v>30.008227662810107</v>
      </c>
      <c r="D1319" s="80">
        <v>29.79</v>
      </c>
      <c r="E1319" s="80">
        <v>21.3</v>
      </c>
      <c r="F1319" s="82">
        <f>-((D1319-C1319)/D1319)</f>
        <v>0.0073255341661667625</v>
      </c>
      <c r="G1319" s="81">
        <f>C1319-D1319</f>
        <v>0.21822766281010786</v>
      </c>
      <c r="H1319" s="80">
        <v>840</v>
      </c>
      <c r="I1319" s="80" t="s">
        <v>241</v>
      </c>
    </row>
    <row r="1320" spans="2:9" ht="12.75">
      <c r="B1320" s="79" t="s">
        <v>50</v>
      </c>
      <c r="C1320" s="81">
        <f>(6/5)^1.88*E1320</f>
        <v>42.307374493623826</v>
      </c>
      <c r="D1320" s="80">
        <v>41.75</v>
      </c>
      <c r="E1320" s="80">
        <v>30.03</v>
      </c>
      <c r="F1320" s="82">
        <f>-((D1320-C1320)/D1320)</f>
        <v>0.013350287272426962</v>
      </c>
      <c r="G1320" s="81">
        <f>C1320-D1320</f>
        <v>0.5573744936238256</v>
      </c>
      <c r="H1320" s="80">
        <v>840</v>
      </c>
      <c r="I1320" s="80" t="s">
        <v>241</v>
      </c>
    </row>
    <row r="1321" spans="2:9" ht="12.75">
      <c r="B1321" s="79" t="s">
        <v>52</v>
      </c>
      <c r="C1321" s="81">
        <f>(6/5)^1.88*E1321</f>
        <v>32.89634347073315</v>
      </c>
      <c r="D1321" s="80">
        <v>33.91</v>
      </c>
      <c r="E1321" s="80">
        <v>23.35</v>
      </c>
      <c r="F1321" s="82">
        <f>-((D1321-C1321)/D1321)</f>
        <v>-0.029892554682006682</v>
      </c>
      <c r="G1321" s="81">
        <f>C1321-D1321</f>
        <v>-1.0136565292668465</v>
      </c>
      <c r="H1321" s="80">
        <v>840</v>
      </c>
      <c r="I1321" s="80" t="s">
        <v>241</v>
      </c>
    </row>
    <row r="1322" spans="2:9" ht="12.75">
      <c r="B1322" s="79" t="s">
        <v>51</v>
      </c>
      <c r="C1322" s="81">
        <f>(6/5)^1.88*E1322</f>
        <v>20.597196639919424</v>
      </c>
      <c r="D1322" s="80">
        <v>21.05</v>
      </c>
      <c r="E1322" s="80">
        <v>14.62</v>
      </c>
      <c r="F1322" s="82">
        <f>-((D1322-C1322)/D1322)</f>
        <v>-0.02151084845988486</v>
      </c>
      <c r="G1322" s="81">
        <f>C1322-D1322</f>
        <v>-0.4528033600805763</v>
      </c>
      <c r="H1322" s="80">
        <v>840</v>
      </c>
      <c r="I1322" s="80" t="s">
        <v>241</v>
      </c>
    </row>
    <row r="1323" spans="2:9" ht="12.75">
      <c r="B1323" s="79"/>
      <c r="C1323" s="81"/>
      <c r="D1323" s="80"/>
      <c r="E1323" s="80" t="s">
        <v>14</v>
      </c>
      <c r="F1323" s="82">
        <f>AVERAGE(F1317:F1322)</f>
        <v>0.0009190521032693891</v>
      </c>
      <c r="G1323" s="81">
        <f>AVERAGE(G1317:G1322)</f>
        <v>0.12746502562237735</v>
      </c>
      <c r="H1323" s="80"/>
      <c r="I1323" s="80"/>
    </row>
    <row r="1324" spans="2:9" ht="12.75">
      <c r="B1324" s="79"/>
      <c r="C1324" s="81"/>
      <c r="D1324" s="80"/>
      <c r="E1324" s="80"/>
      <c r="F1324" s="82"/>
      <c r="G1324" s="81"/>
      <c r="H1324" s="80"/>
      <c r="I1324" s="80"/>
    </row>
    <row r="1325" spans="1:9" ht="12.75">
      <c r="A1325" s="83" t="s">
        <v>0</v>
      </c>
      <c r="B1325" s="83" t="s">
        <v>1</v>
      </c>
      <c r="C1325" s="84" t="s">
        <v>247</v>
      </c>
      <c r="D1325" s="84" t="s">
        <v>194</v>
      </c>
      <c r="E1325" s="84" t="s">
        <v>218</v>
      </c>
      <c r="F1325" s="84" t="s">
        <v>5</v>
      </c>
      <c r="G1325" s="84" t="s">
        <v>6</v>
      </c>
      <c r="H1325" s="84" t="s">
        <v>7</v>
      </c>
      <c r="I1325" s="84" t="s">
        <v>8</v>
      </c>
    </row>
    <row r="1326" spans="1:9" ht="12.75">
      <c r="A1326" s="83" t="s">
        <v>240</v>
      </c>
      <c r="B1326" s="83" t="s">
        <v>105</v>
      </c>
      <c r="C1326" s="85">
        <f>(6/5)^2*E1326</f>
        <v>43.4304</v>
      </c>
      <c r="D1326" s="84">
        <v>41.23</v>
      </c>
      <c r="E1326" s="84">
        <v>30.16</v>
      </c>
      <c r="F1326" s="86">
        <f>-((D1326-C1326)/D1326)</f>
        <v>0.05336890613630856</v>
      </c>
      <c r="G1326" s="85">
        <f>C1326-D1326</f>
        <v>2.200400000000002</v>
      </c>
      <c r="H1326" s="84">
        <v>840</v>
      </c>
      <c r="I1326" s="84" t="s">
        <v>241</v>
      </c>
    </row>
    <row r="1327" spans="1:9" ht="12.75">
      <c r="A1327" s="5"/>
      <c r="B1327" s="83" t="s">
        <v>84</v>
      </c>
      <c r="C1327" s="85">
        <f>(6/5)^2*E1327</f>
        <v>35.3808</v>
      </c>
      <c r="D1327" s="84">
        <v>34.42</v>
      </c>
      <c r="E1327" s="84">
        <v>24.57</v>
      </c>
      <c r="F1327" s="86">
        <f>-((D1327-C1327)/D1327)</f>
        <v>0.027914003486345117</v>
      </c>
      <c r="G1327" s="85">
        <f>C1327-D1327</f>
        <v>0.960799999999999</v>
      </c>
      <c r="H1327" s="84">
        <v>840</v>
      </c>
      <c r="I1327" s="84" t="s">
        <v>241</v>
      </c>
    </row>
    <row r="1328" spans="1:9" ht="12.75">
      <c r="A1328" s="5"/>
      <c r="B1328" s="83" t="s">
        <v>71</v>
      </c>
      <c r="C1328" s="85">
        <f>(6/5)^2*E1328</f>
        <v>30.672</v>
      </c>
      <c r="D1328" s="84">
        <v>29.79</v>
      </c>
      <c r="E1328" s="84">
        <v>21.3</v>
      </c>
      <c r="F1328" s="86">
        <f>-((D1328-C1328)/D1328)</f>
        <v>0.02960725075528706</v>
      </c>
      <c r="G1328" s="85">
        <f>C1328-D1328</f>
        <v>0.8820000000000014</v>
      </c>
      <c r="H1328" s="84">
        <v>840</v>
      </c>
      <c r="I1328" s="84" t="s">
        <v>241</v>
      </c>
    </row>
    <row r="1329" spans="1:9" ht="12.75">
      <c r="A1329" s="5"/>
      <c r="B1329" s="83" t="s">
        <v>50</v>
      </c>
      <c r="C1329" s="85">
        <f>(6/5)^2*E1329</f>
        <v>43.2432</v>
      </c>
      <c r="D1329" s="84">
        <v>41.75</v>
      </c>
      <c r="E1329" s="84">
        <v>30.03</v>
      </c>
      <c r="F1329" s="86">
        <f>-((D1329-C1329)/D1329)</f>
        <v>0.035765269461077887</v>
      </c>
      <c r="G1329" s="85">
        <f>C1329-D1329</f>
        <v>1.4932000000000016</v>
      </c>
      <c r="H1329" s="84">
        <v>840</v>
      </c>
      <c r="I1329" s="84" t="s">
        <v>241</v>
      </c>
    </row>
    <row r="1330" spans="1:9" ht="12.75">
      <c r="A1330" s="5"/>
      <c r="B1330" s="83" t="s">
        <v>52</v>
      </c>
      <c r="C1330" s="85">
        <f>(6/5)^2*E1330</f>
        <v>33.624</v>
      </c>
      <c r="D1330" s="84">
        <v>33.91</v>
      </c>
      <c r="E1330" s="84">
        <v>23.35</v>
      </c>
      <c r="F1330" s="86">
        <f>-((D1330-C1330)/D1330)</f>
        <v>-0.008434090238867422</v>
      </c>
      <c r="G1330" s="85">
        <f>C1330-D1330</f>
        <v>-0.28599999999999426</v>
      </c>
      <c r="H1330" s="84">
        <v>840</v>
      </c>
      <c r="I1330" s="84" t="s">
        <v>241</v>
      </c>
    </row>
    <row r="1331" spans="1:9" ht="12.75">
      <c r="A1331" s="5"/>
      <c r="B1331" s="83" t="s">
        <v>51</v>
      </c>
      <c r="C1331" s="85">
        <f>(6/5)^2*E1331</f>
        <v>21.052799999999998</v>
      </c>
      <c r="D1331" s="84">
        <v>21.05</v>
      </c>
      <c r="E1331" s="84">
        <v>14.62</v>
      </c>
      <c r="F1331" s="86">
        <f>-((D1331-C1331)/D1331)</f>
        <v>0.00013301662707824357</v>
      </c>
      <c r="G1331" s="85">
        <f>C1331-D1331</f>
        <v>0.002799999999997027</v>
      </c>
      <c r="H1331" s="84">
        <v>840</v>
      </c>
      <c r="I1331" s="84" t="s">
        <v>241</v>
      </c>
    </row>
    <row r="1332" spans="1:9" ht="12.75">
      <c r="A1332" s="5"/>
      <c r="B1332" s="83"/>
      <c r="C1332" s="85"/>
      <c r="D1332" s="84"/>
      <c r="E1332" s="84" t="s">
        <v>14</v>
      </c>
      <c r="F1332" s="86">
        <f>AVERAGE(F1326:F1331)</f>
        <v>0.02305905937120491</v>
      </c>
      <c r="G1332" s="85">
        <f>AVERAGE(G1326:G1331)</f>
        <v>0.8755333333333345</v>
      </c>
      <c r="H1332" s="84"/>
      <c r="I1332" s="84"/>
    </row>
    <row r="1333" spans="1:9" ht="12.75">
      <c r="A1333" s="5"/>
      <c r="B1333" s="17"/>
      <c r="C1333" s="17"/>
      <c r="D1333" s="18"/>
      <c r="E1333" s="74"/>
      <c r="F1333" s="76"/>
      <c r="G1333" s="75"/>
      <c r="H1333" s="18"/>
      <c r="I1333" s="5"/>
    </row>
    <row r="1334" spans="1:9" ht="12.75">
      <c r="A1334" s="20" t="s">
        <v>0</v>
      </c>
      <c r="B1334" s="20" t="s">
        <v>1</v>
      </c>
      <c r="C1334" s="16" t="s">
        <v>141</v>
      </c>
      <c r="D1334" s="16" t="s">
        <v>73</v>
      </c>
      <c r="E1334" s="16" t="s">
        <v>3</v>
      </c>
      <c r="F1334" s="16" t="s">
        <v>5</v>
      </c>
      <c r="G1334" s="16" t="s">
        <v>6</v>
      </c>
      <c r="H1334" s="16" t="s">
        <v>7</v>
      </c>
      <c r="I1334" s="16" t="s">
        <v>8</v>
      </c>
    </row>
    <row r="1335" spans="1:9" ht="12.75">
      <c r="A1335" s="20" t="s">
        <v>248</v>
      </c>
      <c r="B1335" s="20" t="s">
        <v>44</v>
      </c>
      <c r="C1335" s="21">
        <f>(4/3)^1.6*E1335</f>
        <v>53.462228383798184</v>
      </c>
      <c r="D1335" s="16">
        <v>50.04</v>
      </c>
      <c r="E1335" s="16">
        <v>33.74</v>
      </c>
      <c r="F1335" s="22">
        <f>-((D1335-C1335)/D1335)</f>
        <v>0.06838985579133064</v>
      </c>
      <c r="G1335" s="21">
        <f>C1335-D1335</f>
        <v>3.422228383798185</v>
      </c>
      <c r="H1335" s="16">
        <v>1200</v>
      </c>
      <c r="I1335" s="16" t="s">
        <v>249</v>
      </c>
    </row>
    <row r="1336" spans="2:9" ht="12.75">
      <c r="B1336" s="15" t="s">
        <v>46</v>
      </c>
      <c r="C1336" s="21">
        <f>(4/3)^1.6*E1336</f>
        <v>35.240069924590145</v>
      </c>
      <c r="D1336" s="16">
        <v>34.1</v>
      </c>
      <c r="E1336" s="16">
        <v>22.24</v>
      </c>
      <c r="F1336" s="22">
        <f>-((D1336-C1336)/D1336)</f>
        <v>0.033433135618479284</v>
      </c>
      <c r="G1336" s="21">
        <f>C1336-D1336</f>
        <v>1.1400699245901436</v>
      </c>
      <c r="H1336" s="16">
        <v>1200</v>
      </c>
      <c r="I1336" s="16" t="s">
        <v>249</v>
      </c>
    </row>
    <row r="1337" spans="2:9" ht="12.75">
      <c r="B1337" s="15" t="s">
        <v>105</v>
      </c>
      <c r="C1337" s="21">
        <f>(4/3)^1.6*E1337</f>
        <v>47.932199425308085</v>
      </c>
      <c r="D1337" s="16">
        <v>48</v>
      </c>
      <c r="E1337" s="16">
        <v>30.25</v>
      </c>
      <c r="F1337" s="22">
        <f>-((D1337-C1337)/D1337)</f>
        <v>-0.001412511972748239</v>
      </c>
      <c r="G1337" s="21">
        <f>C1337-D1337</f>
        <v>-0.06780057469191547</v>
      </c>
      <c r="H1337" s="16">
        <v>1200</v>
      </c>
      <c r="I1337" s="16" t="s">
        <v>249</v>
      </c>
    </row>
    <row r="1338" spans="2:9" ht="12.75">
      <c r="B1338" s="15" t="s">
        <v>84</v>
      </c>
      <c r="C1338" s="21">
        <f>(4/3)^1.6*E1338</f>
        <v>40.373965003532234</v>
      </c>
      <c r="D1338" s="16">
        <v>40.39</v>
      </c>
      <c r="E1338" s="16">
        <v>25.48</v>
      </c>
      <c r="F1338" s="22">
        <f>-((D1338-C1338)/D1338)</f>
        <v>-0.00039700412150944303</v>
      </c>
      <c r="G1338" s="21">
        <f>C1338-D1338</f>
        <v>-0.016034996467766405</v>
      </c>
      <c r="H1338" s="16">
        <v>1200</v>
      </c>
      <c r="I1338" s="16" t="s">
        <v>249</v>
      </c>
    </row>
    <row r="1339" spans="2:9" ht="12.75">
      <c r="B1339" s="15" t="s">
        <v>50</v>
      </c>
      <c r="C1339" s="21">
        <f>(4/3)^1.6*E1339</f>
        <v>48.43925079112953</v>
      </c>
      <c r="D1339" s="16">
        <v>48.64</v>
      </c>
      <c r="E1339" s="16">
        <v>30.57</v>
      </c>
      <c r="F1339" s="22">
        <f>-((D1339-C1339)/D1339)</f>
        <v>-0.004127245248159322</v>
      </c>
      <c r="G1339" s="21">
        <f>C1339-D1339</f>
        <v>-0.20074920887046943</v>
      </c>
      <c r="H1339" s="16">
        <v>1200</v>
      </c>
      <c r="I1339" s="16" t="s">
        <v>249</v>
      </c>
    </row>
    <row r="1340" spans="2:9" ht="12.75">
      <c r="B1340" s="15" t="s">
        <v>71</v>
      </c>
      <c r="C1340" s="21">
        <f>(4/3)^1.6*E1340</f>
        <v>34.764709269132545</v>
      </c>
      <c r="D1340" s="16">
        <v>35.06</v>
      </c>
      <c r="E1340" s="16">
        <v>21.94</v>
      </c>
      <c r="F1340" s="22">
        <f>-((D1340-C1340)/D1340)</f>
        <v>-0.008422439556972527</v>
      </c>
      <c r="G1340" s="21">
        <f>C1340-D1340</f>
        <v>-0.29529073086745683</v>
      </c>
      <c r="H1340" s="16">
        <v>1200</v>
      </c>
      <c r="I1340" s="16" t="s">
        <v>249</v>
      </c>
    </row>
    <row r="1341" spans="2:9" ht="12.75">
      <c r="B1341" s="15" t="s">
        <v>52</v>
      </c>
      <c r="C1341" s="21">
        <f>(4/3)^1.6*E1341</f>
        <v>37.29996609823975</v>
      </c>
      <c r="D1341" s="16">
        <v>39.98</v>
      </c>
      <c r="E1341" s="16">
        <v>23.54</v>
      </c>
      <c r="F1341" s="22">
        <f>-((D1341-C1341)/D1341)</f>
        <v>-0.06703436472636937</v>
      </c>
      <c r="G1341" s="21">
        <f>C1341-D1341</f>
        <v>-2.680033901760247</v>
      </c>
      <c r="H1341" s="16">
        <v>1200</v>
      </c>
      <c r="I1341" s="16" t="s">
        <v>249</v>
      </c>
    </row>
    <row r="1342" spans="2:9" ht="12.75">
      <c r="B1342" s="15" t="s">
        <v>51</v>
      </c>
      <c r="C1342" s="21">
        <f>(4/3)^1.6*E1342</f>
        <v>24.702908728613323</v>
      </c>
      <c r="D1342" s="16">
        <v>25.19</v>
      </c>
      <c r="E1342" s="16">
        <v>15.59</v>
      </c>
      <c r="F1342" s="22">
        <f>-((D1342-C1342)/D1342)</f>
        <v>-0.019336691996295275</v>
      </c>
      <c r="G1342" s="21">
        <f>C1342-D1342</f>
        <v>-0.48709127138667796</v>
      </c>
      <c r="H1342" s="16">
        <v>1200</v>
      </c>
      <c r="I1342" s="16" t="s">
        <v>249</v>
      </c>
    </row>
    <row r="1343" spans="2:9" ht="12.75">
      <c r="B1343" s="15"/>
      <c r="C1343" s="21"/>
      <c r="D1343" s="16"/>
      <c r="E1343" s="16" t="s">
        <v>14</v>
      </c>
      <c r="F1343" s="22">
        <f>AVERAGE(F1335:F1342)</f>
        <v>0.0001365917234694685</v>
      </c>
      <c r="G1343" s="21">
        <f>AVERAGE(G1335:G1342)</f>
        <v>0.10191220304297444</v>
      </c>
      <c r="H1343" s="16"/>
      <c r="I1343" s="16"/>
    </row>
    <row r="1344" spans="2:9" ht="12.75">
      <c r="B1344" s="15"/>
      <c r="C1344" s="21"/>
      <c r="D1344" s="16"/>
      <c r="E1344" s="16"/>
      <c r="F1344" s="22"/>
      <c r="G1344" s="21"/>
      <c r="H1344" s="16"/>
      <c r="I1344" s="16"/>
    </row>
    <row r="1345" spans="1:9" ht="12.75">
      <c r="A1345" s="23" t="s">
        <v>0</v>
      </c>
      <c r="B1345" s="23" t="s">
        <v>1</v>
      </c>
      <c r="C1345" s="18" t="s">
        <v>74</v>
      </c>
      <c r="D1345" s="18" t="s">
        <v>73</v>
      </c>
      <c r="E1345" s="18" t="s">
        <v>3</v>
      </c>
      <c r="F1345" s="18" t="s">
        <v>5</v>
      </c>
      <c r="G1345" s="18" t="s">
        <v>6</v>
      </c>
      <c r="H1345" s="18" t="s">
        <v>7</v>
      </c>
      <c r="I1345" s="18" t="s">
        <v>8</v>
      </c>
    </row>
    <row r="1346" spans="1:9" ht="12.75">
      <c r="A1346" s="23" t="s">
        <v>248</v>
      </c>
      <c r="B1346" s="23" t="s">
        <v>44</v>
      </c>
      <c r="C1346" s="24">
        <f>(4/3)^2*E1346</f>
        <v>59.98222222222222</v>
      </c>
      <c r="D1346" s="18">
        <v>50.04</v>
      </c>
      <c r="E1346" s="18">
        <v>33.74</v>
      </c>
      <c r="F1346" s="25">
        <f>-((D1346-C1346)/D1346)</f>
        <v>0.19868549604760632</v>
      </c>
      <c r="G1346" s="24">
        <f>C1346-D1346</f>
        <v>9.94222222222222</v>
      </c>
      <c r="H1346" s="18">
        <v>1200</v>
      </c>
      <c r="I1346" s="18" t="s">
        <v>249</v>
      </c>
    </row>
    <row r="1347" spans="1:9" ht="12.75">
      <c r="A1347" s="5"/>
      <c r="B1347" s="17" t="s">
        <v>46</v>
      </c>
      <c r="C1347" s="24">
        <f>(4/3)^2*E1347</f>
        <v>39.53777777777777</v>
      </c>
      <c r="D1347" s="18">
        <v>34.1</v>
      </c>
      <c r="E1347" s="18">
        <v>22.24</v>
      </c>
      <c r="F1347" s="25">
        <f>-((D1347-C1347)/D1347)</f>
        <v>0.15946562398175274</v>
      </c>
      <c r="G1347" s="24">
        <f>C1347-D1347</f>
        <v>5.437777777777768</v>
      </c>
      <c r="H1347" s="18">
        <v>1200</v>
      </c>
      <c r="I1347" s="18" t="s">
        <v>249</v>
      </c>
    </row>
    <row r="1348" spans="1:9" ht="12.75">
      <c r="A1348" s="5"/>
      <c r="B1348" s="17" t="s">
        <v>105</v>
      </c>
      <c r="C1348" s="24">
        <f>(4/3)^2*E1348</f>
        <v>53.77777777777777</v>
      </c>
      <c r="D1348" s="18">
        <v>48</v>
      </c>
      <c r="E1348" s="18">
        <v>30.25</v>
      </c>
      <c r="F1348" s="25">
        <f>-((D1348-C1348)/D1348)</f>
        <v>0.12037037037037024</v>
      </c>
      <c r="G1348" s="24">
        <f>C1348-D1348</f>
        <v>5.7777777777777715</v>
      </c>
      <c r="H1348" s="18">
        <v>1200</v>
      </c>
      <c r="I1348" s="18" t="s">
        <v>249</v>
      </c>
    </row>
    <row r="1349" spans="1:9" ht="12.75">
      <c r="A1349" s="5"/>
      <c r="B1349" s="17" t="s">
        <v>84</v>
      </c>
      <c r="C1349" s="24">
        <f>(4/3)^2*E1349</f>
        <v>45.297777777777775</v>
      </c>
      <c r="D1349" s="18">
        <v>40.39</v>
      </c>
      <c r="E1349" s="18">
        <v>25.48</v>
      </c>
      <c r="F1349" s="25">
        <f>-((D1349-C1349)/D1349)</f>
        <v>0.12150972462930859</v>
      </c>
      <c r="G1349" s="24">
        <f>C1349-D1349</f>
        <v>4.907777777777774</v>
      </c>
      <c r="H1349" s="18">
        <v>1200</v>
      </c>
      <c r="I1349" s="18" t="s">
        <v>249</v>
      </c>
    </row>
    <row r="1350" spans="1:9" ht="12.75">
      <c r="A1350" s="5"/>
      <c r="B1350" s="17" t="s">
        <v>50</v>
      </c>
      <c r="C1350" s="24">
        <f>(4/3)^2*E1350</f>
        <v>54.346666666666664</v>
      </c>
      <c r="D1350" s="18">
        <v>48.64</v>
      </c>
      <c r="E1350" s="18">
        <v>30.57</v>
      </c>
      <c r="F1350" s="25">
        <f>-((D1350-C1350)/D1350)</f>
        <v>0.1173245614035087</v>
      </c>
      <c r="G1350" s="24">
        <f>C1350-D1350</f>
        <v>5.7066666666666634</v>
      </c>
      <c r="H1350" s="18">
        <v>1200</v>
      </c>
      <c r="I1350" s="18" t="s">
        <v>249</v>
      </c>
    </row>
    <row r="1351" spans="1:9" ht="12.75">
      <c r="A1351" s="5"/>
      <c r="B1351" s="17" t="s">
        <v>71</v>
      </c>
      <c r="C1351" s="24">
        <f>(4/3)^2*E1351</f>
        <v>39.004444444444445</v>
      </c>
      <c r="D1351" s="18">
        <v>35.06</v>
      </c>
      <c r="E1351" s="18">
        <v>21.94</v>
      </c>
      <c r="F1351" s="25">
        <f>-((D1351-C1351)/D1351)</f>
        <v>0.11250554604804457</v>
      </c>
      <c r="G1351" s="24">
        <f>C1351-D1351</f>
        <v>3.944444444444443</v>
      </c>
      <c r="H1351" s="18">
        <v>1200</v>
      </c>
      <c r="I1351" s="18" t="s">
        <v>249</v>
      </c>
    </row>
    <row r="1352" spans="1:9" ht="12.75">
      <c r="A1352" s="5"/>
      <c r="B1352" s="17" t="s">
        <v>52</v>
      </c>
      <c r="C1352" s="24">
        <f>(4/3)^2*E1352</f>
        <v>41.84888888888889</v>
      </c>
      <c r="D1352" s="18">
        <v>39.98</v>
      </c>
      <c r="E1352" s="18">
        <v>23.54</v>
      </c>
      <c r="F1352" s="25">
        <f>-((D1352-C1352)/D1352)</f>
        <v>0.04674559501973211</v>
      </c>
      <c r="G1352" s="24">
        <f>C1352-D1352</f>
        <v>1.8688888888888897</v>
      </c>
      <c r="H1352" s="18">
        <v>1200</v>
      </c>
      <c r="I1352" s="18" t="s">
        <v>249</v>
      </c>
    </row>
    <row r="1353" spans="1:9" ht="12.75">
      <c r="A1353" s="5"/>
      <c r="B1353" s="17" t="s">
        <v>51</v>
      </c>
      <c r="C1353" s="24">
        <f>(4/3)^2*E1353</f>
        <v>27.715555555555554</v>
      </c>
      <c r="D1353" s="18">
        <v>25.19</v>
      </c>
      <c r="E1353" s="18">
        <v>15.59</v>
      </c>
      <c r="F1353" s="25">
        <f>-((D1353-C1353)/D1353)</f>
        <v>0.10026024436504773</v>
      </c>
      <c r="G1353" s="24">
        <f>C1353-D1353</f>
        <v>2.5255555555555524</v>
      </c>
      <c r="H1353" s="18">
        <v>1200</v>
      </c>
      <c r="I1353" s="18" t="s">
        <v>249</v>
      </c>
    </row>
    <row r="1354" spans="1:9" ht="12.75">
      <c r="A1354" s="5"/>
      <c r="B1354" s="17"/>
      <c r="C1354" s="24"/>
      <c r="D1354" s="18"/>
      <c r="E1354" s="18" t="s">
        <v>14</v>
      </c>
      <c r="F1354" s="25">
        <f>AVERAGE(F1346:F1353)</f>
        <v>0.12210839523317137</v>
      </c>
      <c r="G1354" s="24">
        <f>AVERAGE(G1346:G1353)</f>
        <v>5.013888888888886</v>
      </c>
      <c r="H1354" s="18"/>
      <c r="I1354" s="18"/>
    </row>
    <row r="1355" spans="2:8" ht="12.75">
      <c r="B1355" s="15"/>
      <c r="C1355" s="15"/>
      <c r="D1355" s="16"/>
      <c r="E1355" s="16"/>
      <c r="F1355" s="16"/>
      <c r="G1355" s="16"/>
      <c r="H1355" s="16"/>
    </row>
    <row r="1356" spans="1:9" ht="12.75">
      <c r="A1356" s="69" t="s">
        <v>0</v>
      </c>
      <c r="B1356" s="69" t="s">
        <v>1</v>
      </c>
      <c r="C1356" s="70" t="s">
        <v>250</v>
      </c>
      <c r="D1356" s="70" t="s">
        <v>218</v>
      </c>
      <c r="E1356" s="70" t="s">
        <v>73</v>
      </c>
      <c r="F1356" s="70" t="s">
        <v>5</v>
      </c>
      <c r="G1356" s="70" t="s">
        <v>6</v>
      </c>
      <c r="H1356" s="70" t="s">
        <v>7</v>
      </c>
      <c r="I1356" s="70" t="s">
        <v>8</v>
      </c>
    </row>
    <row r="1357" spans="1:9" ht="12.75">
      <c r="A1357" s="69" t="s">
        <v>248</v>
      </c>
      <c r="B1357" s="69" t="s">
        <v>51</v>
      </c>
      <c r="C1357" s="71">
        <f>(5/4)^1.67*E1357</f>
        <v>36.565194611745966</v>
      </c>
      <c r="D1357" s="70">
        <v>37.27</v>
      </c>
      <c r="E1357" s="70">
        <v>25.19</v>
      </c>
      <c r="F1357" s="72">
        <f>-((D1357-C1357)/D1357)</f>
        <v>-0.01891079657241849</v>
      </c>
      <c r="G1357" s="71">
        <f>C1357-D1357</f>
        <v>-0.7048053882540373</v>
      </c>
      <c r="H1357" s="70">
        <v>1200</v>
      </c>
      <c r="I1357" s="70" t="s">
        <v>249</v>
      </c>
    </row>
    <row r="1358" spans="2:9" ht="12.75">
      <c r="B1358" s="69" t="s">
        <v>67</v>
      </c>
      <c r="C1358" s="71">
        <f>(5/4)^1.67*E1358</f>
        <v>32.37014052568222</v>
      </c>
      <c r="D1358" s="70">
        <v>31.43</v>
      </c>
      <c r="E1358" s="70">
        <v>22.3</v>
      </c>
      <c r="F1358" s="72">
        <f>-((D1358-C1358)/D1358)</f>
        <v>0.02991220253522804</v>
      </c>
      <c r="G1358" s="71">
        <f>C1358-D1358</f>
        <v>0.9401405256822173</v>
      </c>
      <c r="H1358" s="70">
        <v>1200</v>
      </c>
      <c r="I1358" s="70" t="s">
        <v>249</v>
      </c>
    </row>
    <row r="1359" spans="2:9" ht="12.75">
      <c r="B1359" s="69" t="s">
        <v>42</v>
      </c>
      <c r="C1359" s="71">
        <f>(5/4)^1.67*E1359</f>
        <v>30.8169544107728</v>
      </c>
      <c r="D1359" s="70">
        <v>30.31</v>
      </c>
      <c r="E1359" s="70">
        <v>21.23</v>
      </c>
      <c r="F1359" s="72">
        <f>-((D1359-C1359)/D1359)</f>
        <v>0.016725648656311543</v>
      </c>
      <c r="G1359" s="71">
        <f>C1359-D1359</f>
        <v>0.5069544107728028</v>
      </c>
      <c r="H1359" s="70">
        <v>1200</v>
      </c>
      <c r="I1359" s="70" t="s">
        <v>249</v>
      </c>
    </row>
    <row r="1360" spans="2:9" ht="12.75">
      <c r="B1360" s="69" t="s">
        <v>35</v>
      </c>
      <c r="C1360" s="71">
        <f>(5/4)^1.67*E1360</f>
        <v>24.096158418220845</v>
      </c>
      <c r="D1360" s="70">
        <v>24.69</v>
      </c>
      <c r="E1360" s="70">
        <v>16.6</v>
      </c>
      <c r="F1360" s="72">
        <f>-((D1360-C1360)/D1360)</f>
        <v>-0.02405190691693624</v>
      </c>
      <c r="G1360" s="71">
        <f>C1360-D1360</f>
        <v>-0.5938415817791558</v>
      </c>
      <c r="H1360" s="70">
        <v>1200</v>
      </c>
      <c r="I1360" s="70" t="s">
        <v>249</v>
      </c>
    </row>
    <row r="1361" spans="2:9" ht="12.75">
      <c r="B1361" s="69"/>
      <c r="C1361" s="71"/>
      <c r="D1361" s="70"/>
      <c r="E1361" s="70" t="s">
        <v>14</v>
      </c>
      <c r="F1361" s="72">
        <f>AVERAGE(F1357:F1360)</f>
        <v>0.000918786925546213</v>
      </c>
      <c r="G1361" s="71">
        <f>AVERAGE(G1357:G1360)</f>
        <v>0.03711199160545675</v>
      </c>
      <c r="H1361" s="70"/>
      <c r="I1361" s="70"/>
    </row>
    <row r="1362" spans="2:9" ht="12.75">
      <c r="B1362" s="69"/>
      <c r="C1362" s="71"/>
      <c r="D1362" s="70"/>
      <c r="E1362" s="70"/>
      <c r="F1362" s="72"/>
      <c r="G1362" s="71"/>
      <c r="H1362" s="70"/>
      <c r="I1362" s="70"/>
    </row>
    <row r="1363" spans="1:9" ht="12.75">
      <c r="A1363" s="73" t="s">
        <v>0</v>
      </c>
      <c r="B1363" s="73" t="s">
        <v>1</v>
      </c>
      <c r="C1363" s="74" t="s">
        <v>219</v>
      </c>
      <c r="D1363" s="74" t="s">
        <v>218</v>
      </c>
      <c r="E1363" s="74" t="s">
        <v>73</v>
      </c>
      <c r="F1363" s="74" t="s">
        <v>5</v>
      </c>
      <c r="G1363" s="74" t="s">
        <v>6</v>
      </c>
      <c r="H1363" s="74" t="s">
        <v>7</v>
      </c>
      <c r="I1363" s="74" t="s">
        <v>8</v>
      </c>
    </row>
    <row r="1364" spans="1:9" ht="12.75">
      <c r="A1364" s="73" t="s">
        <v>248</v>
      </c>
      <c r="B1364" s="73" t="s">
        <v>51</v>
      </c>
      <c r="C1364" s="75">
        <f>(5/4)^2*E1364</f>
        <v>39.359375</v>
      </c>
      <c r="D1364" s="74">
        <v>37.27</v>
      </c>
      <c r="E1364" s="74">
        <v>25.19</v>
      </c>
      <c r="F1364" s="76">
        <f>-((D1364-C1364)/D1364)</f>
        <v>0.056060504427153116</v>
      </c>
      <c r="G1364" s="75">
        <f>C1364-D1364</f>
        <v>2.089374999999997</v>
      </c>
      <c r="H1364" s="74">
        <v>1200</v>
      </c>
      <c r="I1364" s="74" t="s">
        <v>249</v>
      </c>
    </row>
    <row r="1365" spans="1:9" ht="12.75">
      <c r="A1365" s="5"/>
      <c r="B1365" s="73" t="s">
        <v>67</v>
      </c>
      <c r="C1365" s="75">
        <f>(5/4)^2*E1365</f>
        <v>34.84375</v>
      </c>
      <c r="D1365" s="74">
        <v>31.43</v>
      </c>
      <c r="E1365" s="74">
        <v>22.3</v>
      </c>
      <c r="F1365" s="76">
        <f>-((D1365-C1365)/D1365)</f>
        <v>0.10861438116449253</v>
      </c>
      <c r="G1365" s="75">
        <f>C1365-D1365</f>
        <v>3.4137500000000003</v>
      </c>
      <c r="H1365" s="74">
        <v>1200</v>
      </c>
      <c r="I1365" s="74" t="s">
        <v>249</v>
      </c>
    </row>
    <row r="1366" spans="1:9" ht="12.75">
      <c r="A1366" s="5"/>
      <c r="B1366" s="73" t="s">
        <v>42</v>
      </c>
      <c r="C1366" s="75">
        <f>(5/4)^2*E1366</f>
        <v>33.171875</v>
      </c>
      <c r="D1366" s="74">
        <v>30.31</v>
      </c>
      <c r="E1366" s="74">
        <v>21.23</v>
      </c>
      <c r="F1366" s="76">
        <f>-((D1366-C1366)/D1366)</f>
        <v>0.09442015836357642</v>
      </c>
      <c r="G1366" s="75">
        <f>C1366-D1366</f>
        <v>2.8618750000000013</v>
      </c>
      <c r="H1366" s="74">
        <v>1200</v>
      </c>
      <c r="I1366" s="74" t="s">
        <v>249</v>
      </c>
    </row>
    <row r="1367" spans="1:9" ht="12.75">
      <c r="A1367" s="5"/>
      <c r="B1367" s="73" t="s">
        <v>35</v>
      </c>
      <c r="C1367" s="75">
        <f>(5/4)^2*E1367</f>
        <v>25.937500000000004</v>
      </c>
      <c r="D1367" s="74">
        <v>24.69</v>
      </c>
      <c r="E1367" s="74">
        <v>16.6</v>
      </c>
      <c r="F1367" s="76">
        <f>-((D1367-C1367)/D1367)</f>
        <v>0.05052652895909284</v>
      </c>
      <c r="G1367" s="75">
        <f>C1367-D1367</f>
        <v>1.2475000000000023</v>
      </c>
      <c r="H1367" s="74">
        <v>1200</v>
      </c>
      <c r="I1367" s="74" t="s">
        <v>249</v>
      </c>
    </row>
    <row r="1368" spans="1:9" ht="12.75">
      <c r="A1368" s="5"/>
      <c r="B1368" s="73"/>
      <c r="C1368" s="75"/>
      <c r="D1368" s="74"/>
      <c r="E1368" s="74" t="s">
        <v>14</v>
      </c>
      <c r="F1368" s="76">
        <f>AVERAGE(F1364:F1367)</f>
        <v>0.07740539322857871</v>
      </c>
      <c r="G1368" s="75">
        <f>AVERAGE(G1364:G1367)</f>
        <v>2.403125</v>
      </c>
      <c r="H1368" s="74"/>
      <c r="I1368" s="74"/>
    </row>
    <row r="1369" spans="1:9" ht="12.75">
      <c r="A1369" s="5"/>
      <c r="B1369" s="73"/>
      <c r="C1369" s="75"/>
      <c r="D1369" s="74"/>
      <c r="E1369" s="74"/>
      <c r="F1369" s="76"/>
      <c r="G1369" s="75"/>
      <c r="H1369" s="74"/>
      <c r="I1369" s="74"/>
    </row>
    <row r="1370" spans="1:9" ht="12.75">
      <c r="A1370" s="20" t="s">
        <v>0</v>
      </c>
      <c r="B1370" s="20" t="s">
        <v>1</v>
      </c>
      <c r="C1370" s="16" t="s">
        <v>251</v>
      </c>
      <c r="D1370" s="16" t="s">
        <v>73</v>
      </c>
      <c r="E1370" s="16" t="s">
        <v>3</v>
      </c>
      <c r="F1370" s="16" t="s">
        <v>5</v>
      </c>
      <c r="G1370" s="16" t="s">
        <v>6</v>
      </c>
      <c r="H1370" s="16" t="s">
        <v>7</v>
      </c>
      <c r="I1370" s="16" t="s">
        <v>8</v>
      </c>
    </row>
    <row r="1371" spans="1:9" ht="12.75">
      <c r="A1371" s="20" t="s">
        <v>252</v>
      </c>
      <c r="B1371" s="20" t="s">
        <v>44</v>
      </c>
      <c r="C1371" s="21">
        <f>(4/3)^1.53*E1371</f>
        <v>31.229737773434042</v>
      </c>
      <c r="D1371" s="16">
        <v>30.38</v>
      </c>
      <c r="E1371" s="16">
        <v>20.11</v>
      </c>
      <c r="F1371" s="22">
        <f>-((D1371-C1371)/D1371)</f>
        <v>0.027970301956354287</v>
      </c>
      <c r="G1371" s="21">
        <f>C1371-D1371</f>
        <v>0.8497377734340432</v>
      </c>
      <c r="H1371" s="16">
        <v>1000</v>
      </c>
      <c r="I1371" s="16" t="s">
        <v>249</v>
      </c>
    </row>
    <row r="1372" spans="2:9" ht="12.75">
      <c r="B1372" s="20" t="s">
        <v>92</v>
      </c>
      <c r="C1372" s="21">
        <f>(4/3)^1.53*E1372</f>
        <v>38.8547010985241</v>
      </c>
      <c r="D1372" s="16">
        <v>37.96</v>
      </c>
      <c r="E1372" s="16">
        <v>25.02</v>
      </c>
      <c r="F1372" s="22">
        <f>-((D1372-C1372)/D1372)</f>
        <v>0.0235695758304558</v>
      </c>
      <c r="G1372" s="21">
        <f>C1372-D1372</f>
        <v>0.8947010985241022</v>
      </c>
      <c r="H1372" s="16">
        <v>1000</v>
      </c>
      <c r="I1372" s="16" t="s">
        <v>249</v>
      </c>
    </row>
    <row r="1373" spans="2:9" ht="12.75">
      <c r="B1373" s="20" t="s">
        <v>93</v>
      </c>
      <c r="C1373" s="21">
        <f>(4/3)^1.53*E1373</f>
        <v>28.077258028030208</v>
      </c>
      <c r="D1373" s="16">
        <v>27.49</v>
      </c>
      <c r="E1373" s="16">
        <v>18.08</v>
      </c>
      <c r="F1373" s="22">
        <f>-((D1373-C1373)/D1373)</f>
        <v>0.021362605603136034</v>
      </c>
      <c r="G1373" s="21">
        <f>C1373-D1373</f>
        <v>0.5872580280302095</v>
      </c>
      <c r="H1373" s="16">
        <v>1000</v>
      </c>
      <c r="I1373" s="16" t="s">
        <v>249</v>
      </c>
    </row>
    <row r="1374" spans="2:9" ht="12.75">
      <c r="B1374" s="20" t="s">
        <v>46</v>
      </c>
      <c r="C1374" s="21">
        <f>(4/3)^1.53*E1374</f>
        <v>20.467824159814057</v>
      </c>
      <c r="D1374" s="16">
        <v>20.1</v>
      </c>
      <c r="E1374" s="16">
        <v>13.18</v>
      </c>
      <c r="F1374" s="22">
        <f>-((D1374-C1374)/D1374)</f>
        <v>0.018299709443485367</v>
      </c>
      <c r="G1374" s="21">
        <f>C1374-D1374</f>
        <v>0.3678241598140559</v>
      </c>
      <c r="H1374" s="16">
        <v>1000</v>
      </c>
      <c r="I1374" s="16" t="s">
        <v>249</v>
      </c>
    </row>
    <row r="1375" spans="2:9" ht="12.75">
      <c r="B1375" s="20" t="s">
        <v>103</v>
      </c>
      <c r="C1375" s="21">
        <f>(4/3)^1.53*E1375</f>
        <v>33.761039243881456</v>
      </c>
      <c r="D1375" s="16">
        <v>33.47</v>
      </c>
      <c r="E1375" s="16">
        <v>21.74</v>
      </c>
      <c r="F1375" s="22">
        <f>-((D1375-C1375)/D1375)</f>
        <v>0.008695525661232653</v>
      </c>
      <c r="G1375" s="21">
        <f>C1375-D1375</f>
        <v>0.29103924388145685</v>
      </c>
      <c r="H1375" s="16">
        <v>1000</v>
      </c>
      <c r="I1375" s="16" t="s">
        <v>249</v>
      </c>
    </row>
    <row r="1376" spans="2:9" ht="12.75">
      <c r="B1376" s="20" t="s">
        <v>50</v>
      </c>
      <c r="C1376" s="21">
        <f>(4/3)^1.53*E1376</f>
        <v>27.20760844309122</v>
      </c>
      <c r="D1376" s="16">
        <v>27.53</v>
      </c>
      <c r="E1376" s="16">
        <v>17.52</v>
      </c>
      <c r="F1376" s="22">
        <f>-((D1376-C1376)/D1376)</f>
        <v>-0.011710554192109701</v>
      </c>
      <c r="G1376" s="21">
        <f>C1376-D1376</f>
        <v>-0.3223915569087801</v>
      </c>
      <c r="H1376" s="16">
        <v>1000</v>
      </c>
      <c r="I1376" s="16" t="s">
        <v>249</v>
      </c>
    </row>
    <row r="1377" spans="2:9" ht="12.75">
      <c r="B1377" s="20" t="s">
        <v>84</v>
      </c>
      <c r="C1377" s="21">
        <f>(4/3)^1.53*E1377</f>
        <v>22.579830294665886</v>
      </c>
      <c r="D1377" s="16">
        <v>22.89</v>
      </c>
      <c r="E1377" s="16">
        <v>14.54</v>
      </c>
      <c r="F1377" s="22">
        <f>-((D1377-C1377)/D1377)</f>
        <v>-0.013550445842468973</v>
      </c>
      <c r="G1377" s="21">
        <f>C1377-D1377</f>
        <v>-0.3101697053341148</v>
      </c>
      <c r="H1377" s="16">
        <v>1000</v>
      </c>
      <c r="I1377" s="16" t="s">
        <v>249</v>
      </c>
    </row>
    <row r="1378" spans="2:9" ht="12.75">
      <c r="B1378" s="20" t="s">
        <v>104</v>
      </c>
      <c r="C1378" s="21">
        <f>(4/3)^1.53*E1378</f>
        <v>29.148790552330034</v>
      </c>
      <c r="D1378" s="16">
        <v>29.68</v>
      </c>
      <c r="E1378" s="16">
        <v>18.77</v>
      </c>
      <c r="F1378" s="22">
        <f>-((D1378-C1378)/D1378)</f>
        <v>-0.01789789244171043</v>
      </c>
      <c r="G1378" s="21">
        <f>C1378-D1378</f>
        <v>-0.5312094476699656</v>
      </c>
      <c r="H1378" s="16">
        <v>1000</v>
      </c>
      <c r="I1378" s="16" t="s">
        <v>249</v>
      </c>
    </row>
    <row r="1379" spans="2:9" ht="12.75">
      <c r="B1379" s="20" t="s">
        <v>105</v>
      </c>
      <c r="C1379" s="21">
        <f>(4/3)^1.53*E1379</f>
        <v>27.14549061559558</v>
      </c>
      <c r="D1379" s="16">
        <v>27.7</v>
      </c>
      <c r="E1379" s="16">
        <v>17.48</v>
      </c>
      <c r="F1379" s="22">
        <f>-((D1379-C1379)/D1379)</f>
        <v>-0.020018389328679383</v>
      </c>
      <c r="G1379" s="21">
        <f>C1379-D1379</f>
        <v>-0.5545093844044189</v>
      </c>
      <c r="H1379" s="16">
        <v>1000</v>
      </c>
      <c r="I1379" s="16" t="s">
        <v>249</v>
      </c>
    </row>
    <row r="1380" spans="2:9" ht="12.75">
      <c r="B1380" s="20" t="s">
        <v>83</v>
      </c>
      <c r="C1380" s="21">
        <f>(4/3)^1.53*E1380</f>
        <v>32.90691911581638</v>
      </c>
      <c r="D1380" s="16">
        <v>33.93</v>
      </c>
      <c r="E1380" s="16">
        <v>21.19</v>
      </c>
      <c r="F1380" s="22">
        <f>-((D1380-C1380)/D1380)</f>
        <v>-0.03015269331516713</v>
      </c>
      <c r="G1380" s="21">
        <f>C1380-D1380</f>
        <v>-1.0230808841836208</v>
      </c>
      <c r="H1380" s="16">
        <v>1000</v>
      </c>
      <c r="I1380" s="16" t="s">
        <v>249</v>
      </c>
    </row>
    <row r="1381" spans="2:9" ht="12.75">
      <c r="B1381" s="20"/>
      <c r="C1381" s="21"/>
      <c r="D1381" s="16"/>
      <c r="E1381" s="16" t="s">
        <v>14</v>
      </c>
      <c r="F1381" s="22">
        <f>AVERAGE(F1371:F1380)</f>
        <v>0.0006567743374528521</v>
      </c>
      <c r="G1381" s="21">
        <f>AVERAGE(G1371:G1380)</f>
        <v>0.024919932518296762</v>
      </c>
      <c r="H1381" s="16"/>
      <c r="I1381" s="16"/>
    </row>
    <row r="1382" spans="2:9" ht="12.75">
      <c r="B1382" s="20"/>
      <c r="C1382" s="21"/>
      <c r="D1382" s="16"/>
      <c r="E1382" s="16"/>
      <c r="F1382" s="22"/>
      <c r="G1382" s="21"/>
      <c r="H1382" s="16"/>
      <c r="I1382" s="16"/>
    </row>
    <row r="1383" spans="1:9" ht="12.75">
      <c r="A1383" s="23" t="s">
        <v>0</v>
      </c>
      <c r="B1383" s="23" t="s">
        <v>1</v>
      </c>
      <c r="C1383" s="18" t="s">
        <v>74</v>
      </c>
      <c r="D1383" s="18" t="s">
        <v>73</v>
      </c>
      <c r="E1383" s="18" t="s">
        <v>3</v>
      </c>
      <c r="F1383" s="18" t="s">
        <v>5</v>
      </c>
      <c r="G1383" s="18" t="s">
        <v>6</v>
      </c>
      <c r="H1383" s="18" t="s">
        <v>7</v>
      </c>
      <c r="I1383" s="18" t="s">
        <v>8</v>
      </c>
    </row>
    <row r="1384" spans="1:9" ht="12.75">
      <c r="A1384" s="23" t="s">
        <v>252</v>
      </c>
      <c r="B1384" s="23" t="s">
        <v>44</v>
      </c>
      <c r="C1384" s="24">
        <f>(4/3)^2*E1384</f>
        <v>35.75111111111111</v>
      </c>
      <c r="D1384" s="18">
        <v>30.38</v>
      </c>
      <c r="E1384" s="18">
        <v>20.11</v>
      </c>
      <c r="F1384" s="25">
        <f>-((D1384-C1384)/D1384)</f>
        <v>0.17679760076073434</v>
      </c>
      <c r="G1384" s="24">
        <f>C1384-D1384</f>
        <v>5.371111111111109</v>
      </c>
      <c r="H1384" s="18">
        <v>1000</v>
      </c>
      <c r="I1384" s="18" t="s">
        <v>249</v>
      </c>
    </row>
    <row r="1385" spans="1:9" ht="12.75">
      <c r="A1385" s="5"/>
      <c r="B1385" s="23" t="s">
        <v>92</v>
      </c>
      <c r="C1385" s="24">
        <f>(4/3)^2*E1385</f>
        <v>44.48</v>
      </c>
      <c r="D1385" s="18">
        <v>37.96</v>
      </c>
      <c r="E1385" s="18">
        <v>25.02</v>
      </c>
      <c r="F1385" s="25">
        <f>-((D1385-C1385)/D1385)</f>
        <v>0.17175974710221276</v>
      </c>
      <c r="G1385" s="24">
        <f>C1385-D1385</f>
        <v>6.519999999999996</v>
      </c>
      <c r="H1385" s="18">
        <v>1000</v>
      </c>
      <c r="I1385" s="18" t="s">
        <v>249</v>
      </c>
    </row>
    <row r="1386" spans="1:9" ht="12.75">
      <c r="A1386" s="5"/>
      <c r="B1386" s="23" t="s">
        <v>93</v>
      </c>
      <c r="C1386" s="24">
        <f>(4/3)^2*E1386</f>
        <v>32.142222222222216</v>
      </c>
      <c r="D1386" s="18">
        <v>27.49</v>
      </c>
      <c r="E1386" s="18">
        <v>18.08</v>
      </c>
      <c r="F1386" s="25">
        <f>-((D1386-C1386)/D1386)</f>
        <v>0.16923325653773072</v>
      </c>
      <c r="G1386" s="24">
        <f>C1386-D1386</f>
        <v>4.652222222222218</v>
      </c>
      <c r="H1386" s="18">
        <v>1000</v>
      </c>
      <c r="I1386" s="18" t="s">
        <v>249</v>
      </c>
    </row>
    <row r="1387" spans="1:9" ht="12.75">
      <c r="A1387" s="5"/>
      <c r="B1387" s="23" t="s">
        <v>46</v>
      </c>
      <c r="C1387" s="24">
        <f>(4/3)^2*E1387</f>
        <v>23.43111111111111</v>
      </c>
      <c r="D1387" s="18">
        <v>20.1</v>
      </c>
      <c r="E1387" s="18">
        <v>13.18</v>
      </c>
      <c r="F1387" s="25">
        <f>-((D1387-C1387)/D1387)</f>
        <v>0.16572692095080147</v>
      </c>
      <c r="G1387" s="24">
        <f>C1387-D1387</f>
        <v>3.3311111111111096</v>
      </c>
      <c r="H1387" s="18">
        <v>1000</v>
      </c>
      <c r="I1387" s="18" t="s">
        <v>249</v>
      </c>
    </row>
    <row r="1388" spans="1:9" ht="12.75">
      <c r="A1388" s="5"/>
      <c r="B1388" s="23" t="s">
        <v>103</v>
      </c>
      <c r="C1388" s="24">
        <f>(4/3)^2*E1388</f>
        <v>38.648888888888884</v>
      </c>
      <c r="D1388" s="18">
        <v>33.47</v>
      </c>
      <c r="E1388" s="18">
        <v>21.74</v>
      </c>
      <c r="F1388" s="25">
        <f>-((D1388-C1388)/D1388)</f>
        <v>0.1547322643826975</v>
      </c>
      <c r="G1388" s="24">
        <f>C1388-D1388</f>
        <v>5.178888888888885</v>
      </c>
      <c r="H1388" s="18">
        <v>1000</v>
      </c>
      <c r="I1388" s="18" t="s">
        <v>249</v>
      </c>
    </row>
    <row r="1389" spans="1:9" ht="12.75">
      <c r="A1389" s="5"/>
      <c r="B1389" s="23" t="s">
        <v>50</v>
      </c>
      <c r="C1389" s="24">
        <f>(4/3)^2*E1389</f>
        <v>31.146666666666665</v>
      </c>
      <c r="D1389" s="18">
        <v>27.53</v>
      </c>
      <c r="E1389" s="18">
        <v>17.52</v>
      </c>
      <c r="F1389" s="25">
        <f>-((D1389-C1389)/D1389)</f>
        <v>0.13137183678411418</v>
      </c>
      <c r="G1389" s="24">
        <f>C1389-D1389</f>
        <v>3.6166666666666636</v>
      </c>
      <c r="H1389" s="18">
        <v>1000</v>
      </c>
      <c r="I1389" s="18" t="s">
        <v>249</v>
      </c>
    </row>
    <row r="1390" spans="1:9" ht="12.75">
      <c r="A1390" s="5"/>
      <c r="B1390" s="23" t="s">
        <v>84</v>
      </c>
      <c r="C1390" s="24">
        <f>(4/3)^2*E1390</f>
        <v>25.848888888888887</v>
      </c>
      <c r="D1390" s="18">
        <v>22.89</v>
      </c>
      <c r="E1390" s="18">
        <v>14.54</v>
      </c>
      <c r="F1390" s="25">
        <f>-((D1390-C1390)/D1390)</f>
        <v>0.129265569632542</v>
      </c>
      <c r="G1390" s="24">
        <f>C1390-D1390</f>
        <v>2.958888888888886</v>
      </c>
      <c r="H1390" s="18">
        <v>1000</v>
      </c>
      <c r="I1390" s="18" t="s">
        <v>249</v>
      </c>
    </row>
    <row r="1391" spans="1:9" ht="12.75">
      <c r="A1391" s="5"/>
      <c r="B1391" s="23" t="s">
        <v>104</v>
      </c>
      <c r="C1391" s="24">
        <f>(4/3)^2*E1391</f>
        <v>33.36888888888889</v>
      </c>
      <c r="D1391" s="18">
        <v>29.68</v>
      </c>
      <c r="E1391" s="18">
        <v>18.77</v>
      </c>
      <c r="F1391" s="25">
        <f>-((D1391-C1391)/D1391)</f>
        <v>0.12428870919436961</v>
      </c>
      <c r="G1391" s="24">
        <f>C1391-D1391</f>
        <v>3.68888888888889</v>
      </c>
      <c r="H1391" s="18">
        <v>1000</v>
      </c>
      <c r="I1391" s="18" t="s">
        <v>249</v>
      </c>
    </row>
    <row r="1392" spans="1:9" ht="12.75">
      <c r="A1392" s="5"/>
      <c r="B1392" s="23" t="s">
        <v>105</v>
      </c>
      <c r="C1392" s="24">
        <f>(4/3)^2*E1392</f>
        <v>31.075555555555553</v>
      </c>
      <c r="D1392" s="18">
        <v>27.7</v>
      </c>
      <c r="E1392" s="18">
        <v>17.48</v>
      </c>
      <c r="F1392" s="25">
        <f>-((D1392-C1392)/D1392)</f>
        <v>0.12186121139189725</v>
      </c>
      <c r="G1392" s="24">
        <f>C1392-D1392</f>
        <v>3.375555555555554</v>
      </c>
      <c r="H1392" s="18">
        <v>1000</v>
      </c>
      <c r="I1392" s="18" t="s">
        <v>249</v>
      </c>
    </row>
    <row r="1393" spans="1:9" ht="12.75">
      <c r="A1393" s="5"/>
      <c r="B1393" s="23" t="s">
        <v>83</v>
      </c>
      <c r="C1393" s="24">
        <f>(4/3)^2*E1393</f>
        <v>37.67111111111111</v>
      </c>
      <c r="D1393" s="18">
        <v>33.93</v>
      </c>
      <c r="E1393" s="18">
        <v>21.19</v>
      </c>
      <c r="F1393" s="25">
        <f>-((D1393-C1393)/D1393)</f>
        <v>0.11025968497232862</v>
      </c>
      <c r="G1393" s="24">
        <f>C1393-D1393</f>
        <v>3.7411111111111097</v>
      </c>
      <c r="H1393" s="18">
        <v>1000</v>
      </c>
      <c r="I1393" s="18" t="s">
        <v>249</v>
      </c>
    </row>
    <row r="1394" spans="1:9" ht="12.75">
      <c r="A1394" s="5"/>
      <c r="B1394" s="23"/>
      <c r="C1394" s="24"/>
      <c r="D1394" s="18"/>
      <c r="E1394" s="18" t="s">
        <v>14</v>
      </c>
      <c r="F1394" s="25">
        <f>AVERAGE(F1384:F1393)</f>
        <v>0.14552968017094284</v>
      </c>
      <c r="G1394" s="24">
        <f>AVERAGE(G1384:G1393)</f>
        <v>4.243444444444442</v>
      </c>
      <c r="H1394" s="18"/>
      <c r="I1394" s="18"/>
    </row>
    <row r="1395" spans="2:8" ht="12.75">
      <c r="B1395" s="20"/>
      <c r="C1395" s="20"/>
      <c r="D1395" s="16"/>
      <c r="E1395" s="16"/>
      <c r="F1395" s="16"/>
      <c r="G1395" s="16"/>
      <c r="H1395" s="16"/>
    </row>
    <row r="1396" spans="1:9" ht="12.75">
      <c r="A1396" s="69" t="s">
        <v>0</v>
      </c>
      <c r="B1396" s="69" t="s">
        <v>1</v>
      </c>
      <c r="C1396" s="70" t="s">
        <v>253</v>
      </c>
      <c r="D1396" s="70" t="s">
        <v>218</v>
      </c>
      <c r="E1396" s="70" t="s">
        <v>73</v>
      </c>
      <c r="F1396" s="70" t="s">
        <v>5</v>
      </c>
      <c r="G1396" s="70" t="s">
        <v>6</v>
      </c>
      <c r="H1396" s="70" t="s">
        <v>7</v>
      </c>
      <c r="I1396" s="70" t="s">
        <v>8</v>
      </c>
    </row>
    <row r="1397" spans="1:9" ht="12.75">
      <c r="A1397" s="69" t="s">
        <v>252</v>
      </c>
      <c r="B1397" s="69" t="s">
        <v>46</v>
      </c>
      <c r="C1397" s="71">
        <f>(5/4)^1.63*E1397</f>
        <v>28.917409069635983</v>
      </c>
      <c r="D1397" s="70">
        <v>27.83</v>
      </c>
      <c r="E1397" s="70">
        <v>20.1</v>
      </c>
      <c r="F1397" s="72">
        <f>-((D1397-C1397)/D1397)</f>
        <v>0.03907326876162361</v>
      </c>
      <c r="G1397" s="71">
        <f>C1397-D1397</f>
        <v>1.087409069635985</v>
      </c>
      <c r="H1397" s="70">
        <v>1000</v>
      </c>
      <c r="I1397" s="70" t="s">
        <v>249</v>
      </c>
    </row>
    <row r="1398" spans="2:9" ht="12.75">
      <c r="B1398" s="69" t="s">
        <v>84</v>
      </c>
      <c r="C1398" s="71">
        <f>(5/4)^1.63*E1398</f>
        <v>32.93131808974963</v>
      </c>
      <c r="D1398" s="70">
        <v>32.66</v>
      </c>
      <c r="E1398" s="70">
        <v>22.89</v>
      </c>
      <c r="F1398" s="72">
        <f>-((D1398-C1398)/D1398)</f>
        <v>0.00830735118645543</v>
      </c>
      <c r="G1398" s="71">
        <f>C1398-D1398</f>
        <v>0.27131808974963434</v>
      </c>
      <c r="H1398" s="70">
        <v>1000</v>
      </c>
      <c r="I1398" s="70" t="s">
        <v>249</v>
      </c>
    </row>
    <row r="1399" spans="2:9" ht="12.75">
      <c r="B1399" s="69" t="s">
        <v>71</v>
      </c>
      <c r="C1399" s="71">
        <f>(5/4)^1.63*E1399</f>
        <v>28.60090011464494</v>
      </c>
      <c r="D1399" s="70">
        <v>28.59</v>
      </c>
      <c r="E1399" s="70">
        <v>19.88</v>
      </c>
      <c r="F1399" s="72">
        <f>-((D1399-C1399)/D1399)</f>
        <v>0.00038125619604547457</v>
      </c>
      <c r="G1399" s="71">
        <f>C1399-D1399</f>
        <v>0.010900114644940118</v>
      </c>
      <c r="H1399" s="70">
        <v>1000</v>
      </c>
      <c r="I1399" s="70" t="s">
        <v>249</v>
      </c>
    </row>
    <row r="1400" spans="2:9" ht="12.75">
      <c r="B1400" s="69" t="s">
        <v>52</v>
      </c>
      <c r="C1400" s="71">
        <f>(5/4)^1.63*E1400</f>
        <v>31.075424671847625</v>
      </c>
      <c r="D1400" s="70">
        <v>32.32</v>
      </c>
      <c r="E1400" s="70">
        <v>21.6</v>
      </c>
      <c r="F1400" s="72">
        <f>-((D1400-C1400)/D1400)</f>
        <v>-0.038507900004714594</v>
      </c>
      <c r="G1400" s="71">
        <f>C1400-D1400</f>
        <v>-1.2445753281523757</v>
      </c>
      <c r="H1400" s="70">
        <v>1000</v>
      </c>
      <c r="I1400" s="70" t="s">
        <v>249</v>
      </c>
    </row>
    <row r="1401" spans="2:9" ht="12.75">
      <c r="B1401" s="69" t="s">
        <v>51</v>
      </c>
      <c r="C1401" s="71">
        <f>(5/4)^1.63*E1401</f>
        <v>20.227799578063777</v>
      </c>
      <c r="D1401" s="70">
        <v>20.31</v>
      </c>
      <c r="E1401" s="70">
        <v>14.06</v>
      </c>
      <c r="F1401" s="72">
        <f>-((D1401-C1401)/D1401)</f>
        <v>-0.004047288130783917</v>
      </c>
      <c r="G1401" s="71">
        <f>C1401-D1401</f>
        <v>-0.08220042193622135</v>
      </c>
      <c r="H1401" s="70">
        <v>1000</v>
      </c>
      <c r="I1401" s="70" t="s">
        <v>249</v>
      </c>
    </row>
    <row r="1402" spans="1:9" ht="12.75">
      <c r="A1402" s="5"/>
      <c r="B1402" s="73"/>
      <c r="C1402" s="75"/>
      <c r="D1402" s="74"/>
      <c r="E1402" s="70" t="s">
        <v>14</v>
      </c>
      <c r="F1402" s="72">
        <f>AVERAGE(F1397:F1401)</f>
        <v>0.001041337601725202</v>
      </c>
      <c r="G1402" s="71">
        <f>AVERAGE(G1397:G1401)</f>
        <v>0.008570304788392491</v>
      </c>
      <c r="H1402" s="74"/>
      <c r="I1402" s="74"/>
    </row>
    <row r="1403" spans="1:9" ht="12.75">
      <c r="A1403" s="5"/>
      <c r="B1403" s="73"/>
      <c r="C1403" s="75"/>
      <c r="D1403" s="74"/>
      <c r="E1403" s="70"/>
      <c r="F1403" s="72"/>
      <c r="G1403" s="71"/>
      <c r="H1403" s="74"/>
      <c r="I1403" s="74"/>
    </row>
    <row r="1404" spans="1:9" ht="12.75">
      <c r="A1404" s="73" t="s">
        <v>0</v>
      </c>
      <c r="B1404" s="73" t="s">
        <v>1</v>
      </c>
      <c r="C1404" s="74" t="s">
        <v>219</v>
      </c>
      <c r="D1404" s="74" t="s">
        <v>218</v>
      </c>
      <c r="E1404" s="74" t="s">
        <v>73</v>
      </c>
      <c r="F1404" s="74" t="s">
        <v>5</v>
      </c>
      <c r="G1404" s="74" t="s">
        <v>6</v>
      </c>
      <c r="H1404" s="74" t="s">
        <v>7</v>
      </c>
      <c r="I1404" s="74" t="s">
        <v>8</v>
      </c>
    </row>
    <row r="1405" spans="1:9" ht="12.75">
      <c r="A1405" s="73" t="s">
        <v>252</v>
      </c>
      <c r="B1405" s="73" t="s">
        <v>46</v>
      </c>
      <c r="C1405" s="75">
        <f>(5/4)^2*E1405</f>
        <v>31.406250000000004</v>
      </c>
      <c r="D1405" s="74">
        <v>27.83</v>
      </c>
      <c r="E1405" s="74">
        <v>20.1</v>
      </c>
      <c r="F1405" s="76">
        <f>-((D1405-C1405)/D1405)</f>
        <v>0.12850341358246517</v>
      </c>
      <c r="G1405" s="75">
        <f>C1405-D1405</f>
        <v>3.5762500000000053</v>
      </c>
      <c r="H1405" s="74">
        <v>1000</v>
      </c>
      <c r="I1405" s="74" t="s">
        <v>249</v>
      </c>
    </row>
    <row r="1406" spans="1:9" ht="12.75">
      <c r="A1406" s="5"/>
      <c r="B1406" s="73" t="s">
        <v>84</v>
      </c>
      <c r="C1406" s="75">
        <f>(5/4)^2*E1406</f>
        <v>35.765625</v>
      </c>
      <c r="D1406" s="74">
        <v>32.66</v>
      </c>
      <c r="E1406" s="74">
        <v>22.89</v>
      </c>
      <c r="F1406" s="76">
        <f>-((D1406-C1406)/D1406)</f>
        <v>0.09508955909369271</v>
      </c>
      <c r="G1406" s="75">
        <f>C1406-D1406</f>
        <v>3.1056250000000034</v>
      </c>
      <c r="H1406" s="74">
        <v>1000</v>
      </c>
      <c r="I1406" s="74" t="s">
        <v>249</v>
      </c>
    </row>
    <row r="1407" spans="1:9" ht="12.75">
      <c r="A1407" s="5"/>
      <c r="B1407" s="73" t="s">
        <v>71</v>
      </c>
      <c r="C1407" s="75">
        <f>(5/4)^2*E1407</f>
        <v>31.0625</v>
      </c>
      <c r="D1407" s="74">
        <v>28.59</v>
      </c>
      <c r="E1407" s="74">
        <v>19.88</v>
      </c>
      <c r="F1407" s="76">
        <f>-((D1407-C1407)/D1407)</f>
        <v>0.08648128716334383</v>
      </c>
      <c r="G1407" s="75">
        <f>C1407-D1407</f>
        <v>2.4725</v>
      </c>
      <c r="H1407" s="74">
        <v>1000</v>
      </c>
      <c r="I1407" s="74" t="s">
        <v>249</v>
      </c>
    </row>
    <row r="1408" spans="1:9" ht="12.75">
      <c r="A1408" s="5"/>
      <c r="B1408" s="73" t="s">
        <v>52</v>
      </c>
      <c r="C1408" s="75">
        <f>(5/4)^2*E1408</f>
        <v>33.75</v>
      </c>
      <c r="D1408" s="74">
        <v>32.32</v>
      </c>
      <c r="E1408" s="74">
        <v>21.6</v>
      </c>
      <c r="F1408" s="76">
        <f>-((D1408-C1408)/D1408)</f>
        <v>0.044245049504950486</v>
      </c>
      <c r="G1408" s="75">
        <f>C1408-D1408</f>
        <v>1.4299999999999997</v>
      </c>
      <c r="H1408" s="74">
        <v>1000</v>
      </c>
      <c r="I1408" s="74" t="s">
        <v>249</v>
      </c>
    </row>
    <row r="1409" spans="1:9" ht="12.75">
      <c r="A1409" s="5"/>
      <c r="B1409" s="73" t="s">
        <v>51</v>
      </c>
      <c r="C1409" s="75">
        <f>(5/4)^2*E1409</f>
        <v>21.96875</v>
      </c>
      <c r="D1409" s="74">
        <v>20.31</v>
      </c>
      <c r="E1409" s="74">
        <v>14.06</v>
      </c>
      <c r="F1409" s="76">
        <f>-((D1409-C1409)/D1409)</f>
        <v>0.08167159034958156</v>
      </c>
      <c r="G1409" s="75">
        <f>C1409-D1409</f>
        <v>1.6587500000000013</v>
      </c>
      <c r="H1409" s="74">
        <v>1000</v>
      </c>
      <c r="I1409" s="74" t="s">
        <v>249</v>
      </c>
    </row>
    <row r="1410" spans="1:9" ht="12.75">
      <c r="A1410" s="5"/>
      <c r="B1410" s="73"/>
      <c r="C1410" s="75"/>
      <c r="D1410" s="74"/>
      <c r="E1410" s="74" t="s">
        <v>14</v>
      </c>
      <c r="F1410" s="76">
        <f>AVERAGE(F1405:F1409)</f>
        <v>0.08719817993880674</v>
      </c>
      <c r="G1410" s="75">
        <f>AVERAGE(G1405:G1409)</f>
        <v>2.448625000000002</v>
      </c>
      <c r="H1410" s="74"/>
      <c r="I1410" s="74"/>
    </row>
    <row r="1411" spans="1:9" ht="12.75">
      <c r="A1411" s="5"/>
      <c r="B1411" s="73"/>
      <c r="C1411" s="75"/>
      <c r="D1411" s="74"/>
      <c r="E1411" s="70"/>
      <c r="F1411" s="72"/>
      <c r="G1411" s="71"/>
      <c r="H1411" s="74"/>
      <c r="I1411" s="74"/>
    </row>
    <row r="1412" spans="1:9" ht="12.75">
      <c r="A1412" s="20" t="s">
        <v>0</v>
      </c>
      <c r="B1412" s="20" t="s">
        <v>1</v>
      </c>
      <c r="C1412" s="16" t="s">
        <v>254</v>
      </c>
      <c r="D1412" s="16" t="s">
        <v>73</v>
      </c>
      <c r="E1412" s="16" t="s">
        <v>3</v>
      </c>
      <c r="F1412" s="16" t="s">
        <v>5</v>
      </c>
      <c r="G1412" s="16" t="s">
        <v>6</v>
      </c>
      <c r="H1412" s="16" t="s">
        <v>7</v>
      </c>
      <c r="I1412" s="16" t="s">
        <v>8</v>
      </c>
    </row>
    <row r="1413" spans="1:9" ht="12.75">
      <c r="A1413" s="20" t="s">
        <v>255</v>
      </c>
      <c r="B1413" s="20" t="s">
        <v>92</v>
      </c>
      <c r="C1413" s="21">
        <f>(4/3)^1.51*E1413</f>
        <v>25.461157764942577</v>
      </c>
      <c r="D1413" s="16">
        <v>24.93</v>
      </c>
      <c r="E1413" s="16">
        <v>16.49</v>
      </c>
      <c r="F1413" s="22">
        <f>-((D1413-C1413)/D1413)</f>
        <v>0.021305967306160335</v>
      </c>
      <c r="G1413" s="21">
        <f>C1413-D1413</f>
        <v>0.5311577649425772</v>
      </c>
      <c r="H1413" s="16">
        <v>820</v>
      </c>
      <c r="I1413" s="16" t="s">
        <v>249</v>
      </c>
    </row>
    <row r="1414" spans="2:9" ht="12.75">
      <c r="B1414" s="20" t="s">
        <v>93</v>
      </c>
      <c r="C1414" s="21">
        <f>(4/3)^1.51*E1414</f>
        <v>17.818178326709358</v>
      </c>
      <c r="D1414" s="16">
        <v>17.8</v>
      </c>
      <c r="E1414" s="16">
        <v>11.54</v>
      </c>
      <c r="F1414" s="22">
        <f>-((D1414-C1414)/D1414)</f>
        <v>0.0010212543095144467</v>
      </c>
      <c r="G1414" s="21">
        <f>C1414-D1414</f>
        <v>0.01817832670935715</v>
      </c>
      <c r="H1414" s="16">
        <v>820</v>
      </c>
      <c r="I1414" s="16" t="s">
        <v>249</v>
      </c>
    </row>
    <row r="1415" spans="2:9" ht="12.75">
      <c r="B1415" s="20" t="s">
        <v>44</v>
      </c>
      <c r="C1415" s="21">
        <f>(4/3)^1.51*E1415</f>
        <v>20.180553789435994</v>
      </c>
      <c r="D1415" s="16">
        <v>19.82</v>
      </c>
      <c r="E1415" s="16">
        <v>13.07</v>
      </c>
      <c r="F1415" s="22">
        <f>-((D1415-C1415)/D1415)</f>
        <v>0.01819141218143256</v>
      </c>
      <c r="G1415" s="21">
        <f>C1415-D1415</f>
        <v>0.36055378943599337</v>
      </c>
      <c r="H1415" s="16">
        <v>820</v>
      </c>
      <c r="I1415" s="16" t="s">
        <v>249</v>
      </c>
    </row>
    <row r="1416" spans="2:9" ht="12.75">
      <c r="B1416" s="20" t="s">
        <v>46</v>
      </c>
      <c r="C1416" s="21">
        <f>(4/3)^1.51*E1416</f>
        <v>13.24783102627091</v>
      </c>
      <c r="D1416" s="16">
        <v>12.92</v>
      </c>
      <c r="E1416" s="16">
        <v>8.58</v>
      </c>
      <c r="F1416" s="22">
        <f>-((D1416-C1416)/D1416)</f>
        <v>0.02537391844202094</v>
      </c>
      <c r="G1416" s="21">
        <f>C1416-D1416</f>
        <v>0.32783102627091054</v>
      </c>
      <c r="H1416" s="16">
        <v>820</v>
      </c>
      <c r="I1416" s="16" t="s">
        <v>249</v>
      </c>
    </row>
    <row r="1417" spans="2:9" ht="12.75">
      <c r="B1417" s="20" t="s">
        <v>96</v>
      </c>
      <c r="C1417" s="21">
        <f>(4/3)^1.51*E1417</f>
        <v>24.133286589815192</v>
      </c>
      <c r="D1417" s="16">
        <v>23.78</v>
      </c>
      <c r="E1417" s="16">
        <v>15.63</v>
      </c>
      <c r="F1417" s="22">
        <f>-((D1417-C1417)/D1417)</f>
        <v>0.014856458781126623</v>
      </c>
      <c r="G1417" s="21">
        <f>C1417-D1417</f>
        <v>0.3532865898151911</v>
      </c>
      <c r="H1417" s="16">
        <v>820</v>
      </c>
      <c r="I1417" s="16" t="s">
        <v>249</v>
      </c>
    </row>
    <row r="1418" spans="2:9" ht="12.75">
      <c r="B1418" s="20" t="s">
        <v>148</v>
      </c>
      <c r="C1418" s="21">
        <f>(4/3)^1.51*E1418</f>
        <v>28.827156790265494</v>
      </c>
      <c r="D1418" s="16">
        <v>29.85</v>
      </c>
      <c r="E1418" s="16">
        <v>18.67</v>
      </c>
      <c r="F1418" s="22">
        <f>-((D1418-C1418)/D1418)</f>
        <v>-0.034266104178710455</v>
      </c>
      <c r="G1418" s="21">
        <f>C1418-D1418</f>
        <v>-1.022843209734507</v>
      </c>
      <c r="H1418" s="16">
        <v>820</v>
      </c>
      <c r="I1418" s="16" t="s">
        <v>249</v>
      </c>
    </row>
    <row r="1419" spans="2:9" ht="12.75">
      <c r="B1419" s="20" t="s">
        <v>97</v>
      </c>
      <c r="C1419" s="21">
        <f>(4/3)^1.51*E1419</f>
        <v>27.159597640105517</v>
      </c>
      <c r="D1419" s="16">
        <v>27.45</v>
      </c>
      <c r="E1419" s="16">
        <v>17.59</v>
      </c>
      <c r="F1419" s="22">
        <f>-((D1419-C1419)/D1419)</f>
        <v>-0.010579320943332696</v>
      </c>
      <c r="G1419" s="21">
        <f>C1419-D1419</f>
        <v>-0.2904023598944825</v>
      </c>
      <c r="H1419" s="16">
        <v>820</v>
      </c>
      <c r="I1419" s="16" t="s">
        <v>249</v>
      </c>
    </row>
    <row r="1420" spans="2:9" ht="12.75">
      <c r="B1420" s="20" t="s">
        <v>98</v>
      </c>
      <c r="C1420" s="21">
        <f>(4/3)^1.51*E1420</f>
        <v>22.49660816465818</v>
      </c>
      <c r="D1420" s="16">
        <v>22.32</v>
      </c>
      <c r="E1420" s="16">
        <v>14.57</v>
      </c>
      <c r="F1420" s="22">
        <f>-((D1420-C1420)/D1420)</f>
        <v>0.007912552180025999</v>
      </c>
      <c r="G1420" s="21">
        <f>C1420-D1420</f>
        <v>0.1766081646581803</v>
      </c>
      <c r="H1420" s="16">
        <v>820</v>
      </c>
      <c r="I1420" s="16" t="s">
        <v>249</v>
      </c>
    </row>
    <row r="1421" spans="2:9" ht="12.75">
      <c r="B1421" s="20" t="s">
        <v>103</v>
      </c>
      <c r="C1421" s="21">
        <f>(4/3)^1.51*E1421</f>
        <v>21.230498439536717</v>
      </c>
      <c r="D1421" s="16">
        <v>21.6</v>
      </c>
      <c r="E1421" s="16">
        <v>13.75</v>
      </c>
      <c r="F1421" s="22">
        <f>-((D1421-C1421)/D1421)</f>
        <v>-0.01710655372515205</v>
      </c>
      <c r="G1421" s="21">
        <f>C1421-D1421</f>
        <v>-0.3695015604632843</v>
      </c>
      <c r="H1421" s="16">
        <v>820</v>
      </c>
      <c r="I1421" s="16" t="s">
        <v>249</v>
      </c>
    </row>
    <row r="1422" spans="2:9" ht="12.75">
      <c r="B1422" s="20" t="s">
        <v>104</v>
      </c>
      <c r="C1422" s="21">
        <f>(4/3)^1.51*E1422</f>
        <v>18.59019645178342</v>
      </c>
      <c r="D1422" s="16">
        <v>18.73</v>
      </c>
      <c r="E1422" s="16">
        <v>12.04</v>
      </c>
      <c r="F1422" s="22">
        <f>-((D1422-C1422)/D1422)</f>
        <v>-0.0074641509992835154</v>
      </c>
      <c r="G1422" s="21">
        <f>C1422-D1422</f>
        <v>-0.13980354821658025</v>
      </c>
      <c r="H1422" s="16">
        <v>820</v>
      </c>
      <c r="I1422" s="16" t="s">
        <v>249</v>
      </c>
    </row>
    <row r="1423" spans="2:9" ht="12.75">
      <c r="B1423" s="20" t="s">
        <v>107</v>
      </c>
      <c r="C1423" s="21">
        <f>(4/3)^1.51*E1423</f>
        <v>25.26043305242332</v>
      </c>
      <c r="D1423" s="16">
        <v>24.4</v>
      </c>
      <c r="E1423" s="16">
        <v>16.36</v>
      </c>
      <c r="F1423" s="22">
        <f>-((D1423-C1423)/D1423)</f>
        <v>0.035263649689480384</v>
      </c>
      <c r="G1423" s="21">
        <f>C1423-D1423</f>
        <v>0.8604330524233212</v>
      </c>
      <c r="H1423" s="16">
        <v>820</v>
      </c>
      <c r="I1423" s="16" t="s">
        <v>249</v>
      </c>
    </row>
    <row r="1424" spans="2:9" ht="12.75">
      <c r="B1424" s="20" t="s">
        <v>83</v>
      </c>
      <c r="C1424" s="21">
        <f>(4/3)^1.51*E1424</f>
        <v>20.705526114486354</v>
      </c>
      <c r="D1424" s="16">
        <v>21.49</v>
      </c>
      <c r="E1424" s="16">
        <v>13.41</v>
      </c>
      <c r="F1424" s="22">
        <f>-((D1424-C1424)/D1424)</f>
        <v>-0.0365041361337201</v>
      </c>
      <c r="G1424" s="21">
        <f>C1424-D1424</f>
        <v>-0.7844738855136448</v>
      </c>
      <c r="H1424" s="16">
        <v>820</v>
      </c>
      <c r="I1424" s="16" t="s">
        <v>249</v>
      </c>
    </row>
    <row r="1425" spans="2:9" ht="12.75">
      <c r="B1425" s="20"/>
      <c r="C1425" s="21"/>
      <c r="D1425" s="16"/>
      <c r="E1425" s="16" t="s">
        <v>14</v>
      </c>
      <c r="F1425" s="22">
        <f>AVERAGE(F1413:F1424)</f>
        <v>0.0015004122424635401</v>
      </c>
      <c r="G1425" s="21">
        <f>AVERAGE(G1413:G1424)</f>
        <v>0.0017520125360859968</v>
      </c>
      <c r="H1425" s="16"/>
      <c r="I1425" s="16"/>
    </row>
    <row r="1426" spans="2:9" ht="12.75">
      <c r="B1426" s="20"/>
      <c r="C1426" s="21"/>
      <c r="D1426" s="16"/>
      <c r="E1426" s="16"/>
      <c r="F1426" s="22"/>
      <c r="G1426" s="21"/>
      <c r="H1426" s="16"/>
      <c r="I1426" s="16"/>
    </row>
    <row r="1427" spans="1:9" ht="12.75">
      <c r="A1427" s="23" t="s">
        <v>0</v>
      </c>
      <c r="B1427" s="23" t="s">
        <v>1</v>
      </c>
      <c r="C1427" s="18" t="s">
        <v>74</v>
      </c>
      <c r="D1427" s="18" t="s">
        <v>73</v>
      </c>
      <c r="E1427" s="18" t="s">
        <v>3</v>
      </c>
      <c r="F1427" s="18" t="s">
        <v>5</v>
      </c>
      <c r="G1427" s="18" t="s">
        <v>6</v>
      </c>
      <c r="H1427" s="18" t="s">
        <v>7</v>
      </c>
      <c r="I1427" s="18" t="s">
        <v>8</v>
      </c>
    </row>
    <row r="1428" spans="1:9" ht="12.75">
      <c r="A1428" s="23" t="s">
        <v>255</v>
      </c>
      <c r="B1428" s="23" t="s">
        <v>92</v>
      </c>
      <c r="C1428" s="24">
        <f>(4/3)^2*E1428</f>
        <v>29.31555555555555</v>
      </c>
      <c r="D1428" s="18">
        <v>24.93</v>
      </c>
      <c r="E1428" s="18">
        <v>16.49</v>
      </c>
      <c r="F1428" s="25">
        <f>-((D1428-C1428)/D1428)</f>
        <v>0.17591478361634785</v>
      </c>
      <c r="G1428" s="24">
        <f>C1428-D1428</f>
        <v>4.385555555555552</v>
      </c>
      <c r="H1428" s="18">
        <v>820</v>
      </c>
      <c r="I1428" s="18" t="s">
        <v>249</v>
      </c>
    </row>
    <row r="1429" spans="1:9" ht="12.75">
      <c r="A1429" s="5"/>
      <c r="B1429" s="23" t="s">
        <v>93</v>
      </c>
      <c r="C1429" s="24">
        <f>(4/3)^2*E1429</f>
        <v>20.515555555555554</v>
      </c>
      <c r="D1429" s="18">
        <v>17.8</v>
      </c>
      <c r="E1429" s="18">
        <v>11.54</v>
      </c>
      <c r="F1429" s="25">
        <f>-((D1429-C1429)/D1429)</f>
        <v>0.1525593008739075</v>
      </c>
      <c r="G1429" s="24">
        <f>C1429-D1429</f>
        <v>2.7155555555555537</v>
      </c>
      <c r="H1429" s="18">
        <v>820</v>
      </c>
      <c r="I1429" s="18" t="s">
        <v>249</v>
      </c>
    </row>
    <row r="1430" spans="1:9" ht="12.75">
      <c r="A1430" s="5"/>
      <c r="B1430" s="23" t="s">
        <v>44</v>
      </c>
      <c r="C1430" s="24">
        <f>(4/3)^2*E1430</f>
        <v>23.235555555555553</v>
      </c>
      <c r="D1430" s="18">
        <v>19.82</v>
      </c>
      <c r="E1430" s="18">
        <v>13.07</v>
      </c>
      <c r="F1430" s="25">
        <f>-((D1430-C1430)/D1430)</f>
        <v>0.17232873640542648</v>
      </c>
      <c r="G1430" s="24">
        <f>C1430-D1430</f>
        <v>3.415555555555553</v>
      </c>
      <c r="H1430" s="18">
        <v>820</v>
      </c>
      <c r="I1430" s="18" t="s">
        <v>249</v>
      </c>
    </row>
    <row r="1431" spans="1:9" ht="12.75">
      <c r="A1431" s="5"/>
      <c r="B1431" s="23" t="s">
        <v>46</v>
      </c>
      <c r="C1431" s="24">
        <f>(4/3)^2*E1431</f>
        <v>15.253333333333332</v>
      </c>
      <c r="D1431" s="18">
        <v>12.92</v>
      </c>
      <c r="E1431" s="18">
        <v>8.58</v>
      </c>
      <c r="F1431" s="25">
        <f>-((D1431-C1431)/D1431)</f>
        <v>0.1805985552115582</v>
      </c>
      <c r="G1431" s="24">
        <f>C1431-D1431</f>
        <v>2.333333333333332</v>
      </c>
      <c r="H1431" s="18">
        <v>820</v>
      </c>
      <c r="I1431" s="18" t="s">
        <v>249</v>
      </c>
    </row>
    <row r="1432" spans="1:9" ht="12.75">
      <c r="A1432" s="5"/>
      <c r="B1432" s="23" t="s">
        <v>96</v>
      </c>
      <c r="C1432" s="24">
        <f>(4/3)^2*E1432</f>
        <v>27.786666666666665</v>
      </c>
      <c r="D1432" s="18">
        <v>23.78</v>
      </c>
      <c r="E1432" s="18">
        <v>15.63</v>
      </c>
      <c r="F1432" s="25">
        <f>-((D1432-C1432)/D1432)</f>
        <v>0.16848892626857292</v>
      </c>
      <c r="G1432" s="24">
        <f>C1432-D1432</f>
        <v>4.006666666666664</v>
      </c>
      <c r="H1432" s="18">
        <v>820</v>
      </c>
      <c r="I1432" s="18" t="s">
        <v>249</v>
      </c>
    </row>
    <row r="1433" spans="1:9" ht="12.75">
      <c r="A1433" s="5"/>
      <c r="B1433" s="23" t="s">
        <v>148</v>
      </c>
      <c r="C1433" s="24">
        <f>(4/3)^2*E1433</f>
        <v>33.19111111111111</v>
      </c>
      <c r="D1433" s="18">
        <v>29.85</v>
      </c>
      <c r="E1433" s="18">
        <v>18.67</v>
      </c>
      <c r="F1433" s="25">
        <f>-((D1433-C1433)/D1433)</f>
        <v>0.11193002047273404</v>
      </c>
      <c r="G1433" s="24">
        <f>C1433-D1433</f>
        <v>3.341111111111111</v>
      </c>
      <c r="H1433" s="18">
        <v>820</v>
      </c>
      <c r="I1433" s="18" t="s">
        <v>249</v>
      </c>
    </row>
    <row r="1434" spans="1:9" ht="12.75">
      <c r="A1434" s="5"/>
      <c r="B1434" s="23" t="s">
        <v>97</v>
      </c>
      <c r="C1434" s="24">
        <f>(4/3)^2*E1434</f>
        <v>31.27111111111111</v>
      </c>
      <c r="D1434" s="18">
        <v>27.45</v>
      </c>
      <c r="E1434" s="18">
        <v>17.59</v>
      </c>
      <c r="F1434" s="25">
        <f>-((D1434-C1434)/D1434)</f>
        <v>0.13920259056871082</v>
      </c>
      <c r="G1434" s="24">
        <f>C1434-D1434</f>
        <v>3.8211111111111116</v>
      </c>
      <c r="H1434" s="18">
        <v>820</v>
      </c>
      <c r="I1434" s="18" t="s">
        <v>249</v>
      </c>
    </row>
    <row r="1435" spans="1:9" ht="12.75">
      <c r="A1435" s="5"/>
      <c r="B1435" s="23" t="s">
        <v>98</v>
      </c>
      <c r="C1435" s="24">
        <f>(4/3)^2*E1435</f>
        <v>25.90222222222222</v>
      </c>
      <c r="D1435" s="18">
        <v>22.32</v>
      </c>
      <c r="E1435" s="18">
        <v>14.57</v>
      </c>
      <c r="F1435" s="25">
        <f>-((D1435-C1435)/D1435)</f>
        <v>0.16049382716049376</v>
      </c>
      <c r="G1435" s="24">
        <f>C1435-D1435</f>
        <v>3.582222222222221</v>
      </c>
      <c r="H1435" s="18">
        <v>820</v>
      </c>
      <c r="I1435" s="18" t="s">
        <v>249</v>
      </c>
    </row>
    <row r="1436" spans="1:9" ht="12.75">
      <c r="A1436" s="5"/>
      <c r="B1436" s="23" t="s">
        <v>103</v>
      </c>
      <c r="C1436" s="24">
        <f>(4/3)^2*E1436</f>
        <v>24.444444444444443</v>
      </c>
      <c r="D1436" s="18">
        <v>21.6</v>
      </c>
      <c r="E1436" s="18">
        <v>13.75</v>
      </c>
      <c r="F1436" s="25">
        <f>-((D1436-C1436)/D1436)</f>
        <v>0.13168724279835375</v>
      </c>
      <c r="G1436" s="24">
        <f>C1436-D1436</f>
        <v>2.8444444444444414</v>
      </c>
      <c r="H1436" s="18">
        <v>820</v>
      </c>
      <c r="I1436" s="18" t="s">
        <v>249</v>
      </c>
    </row>
    <row r="1437" spans="1:9" ht="12.75">
      <c r="A1437" s="5"/>
      <c r="B1437" s="23" t="s">
        <v>104</v>
      </c>
      <c r="C1437" s="24">
        <f>(4/3)^2*E1437</f>
        <v>21.40444444444444</v>
      </c>
      <c r="D1437" s="18">
        <v>18.73</v>
      </c>
      <c r="E1437" s="18">
        <v>12.04</v>
      </c>
      <c r="F1437" s="25">
        <f>-((D1437-C1437)/D1437)</f>
        <v>0.1427893456724207</v>
      </c>
      <c r="G1437" s="24">
        <f>C1437-D1437</f>
        <v>2.6744444444444397</v>
      </c>
      <c r="H1437" s="18">
        <v>820</v>
      </c>
      <c r="I1437" s="18" t="s">
        <v>249</v>
      </c>
    </row>
    <row r="1438" spans="1:9" ht="12.75">
      <c r="A1438" s="5"/>
      <c r="B1438" s="23" t="s">
        <v>107</v>
      </c>
      <c r="C1438" s="24">
        <f>(4/3)^2*E1438</f>
        <v>29.084444444444443</v>
      </c>
      <c r="D1438" s="18">
        <v>24.4</v>
      </c>
      <c r="E1438" s="18">
        <v>16.36</v>
      </c>
      <c r="F1438" s="25">
        <f>-((D1438-C1438)/D1438)</f>
        <v>0.19198542805100186</v>
      </c>
      <c r="G1438" s="24">
        <f>C1438-D1438</f>
        <v>4.684444444444445</v>
      </c>
      <c r="H1438" s="18">
        <v>820</v>
      </c>
      <c r="I1438" s="18" t="s">
        <v>249</v>
      </c>
    </row>
    <row r="1439" spans="1:9" ht="12.75">
      <c r="A1439" s="5"/>
      <c r="B1439" s="23" t="s">
        <v>83</v>
      </c>
      <c r="C1439" s="24">
        <f>(4/3)^2*E1439</f>
        <v>23.84</v>
      </c>
      <c r="D1439" s="18">
        <v>21.49</v>
      </c>
      <c r="E1439" s="18">
        <v>13.41</v>
      </c>
      <c r="F1439" s="25">
        <f>-((D1439-C1439)/D1439)</f>
        <v>0.10935318752908336</v>
      </c>
      <c r="G1439" s="24">
        <f>C1439-D1439</f>
        <v>2.3500000000000014</v>
      </c>
      <c r="H1439" s="18">
        <v>820</v>
      </c>
      <c r="I1439" s="18" t="s">
        <v>249</v>
      </c>
    </row>
    <row r="1440" spans="1:9" ht="12.75">
      <c r="A1440" s="5"/>
      <c r="B1440" s="23"/>
      <c r="C1440" s="24"/>
      <c r="D1440" s="18"/>
      <c r="E1440" s="18" t="s">
        <v>14</v>
      </c>
      <c r="F1440" s="25">
        <f>AVERAGE(F1428:F1439)</f>
        <v>0.15311099538571762</v>
      </c>
      <c r="G1440" s="24">
        <f>AVERAGE(G1428:G1439)</f>
        <v>3.346203703703702</v>
      </c>
      <c r="H1440" s="18"/>
      <c r="I1440" s="18"/>
    </row>
    <row r="1441" spans="2:9" ht="12.75">
      <c r="B1441" s="79"/>
      <c r="C1441" s="79"/>
      <c r="D1441" s="80"/>
      <c r="E1441" s="80"/>
      <c r="F1441" s="80"/>
      <c r="G1441" s="80"/>
      <c r="H1441" s="16"/>
      <c r="I1441" s="74"/>
    </row>
    <row r="1442" spans="1:9" ht="12.75">
      <c r="A1442" s="69" t="s">
        <v>0</v>
      </c>
      <c r="B1442" s="69" t="s">
        <v>1</v>
      </c>
      <c r="C1442" s="70" t="s">
        <v>256</v>
      </c>
      <c r="D1442" s="70" t="s">
        <v>218</v>
      </c>
      <c r="E1442" s="70" t="s">
        <v>73</v>
      </c>
      <c r="F1442" s="70" t="s">
        <v>5</v>
      </c>
      <c r="G1442" s="70" t="s">
        <v>6</v>
      </c>
      <c r="H1442" s="70" t="s">
        <v>7</v>
      </c>
      <c r="I1442" s="70" t="s">
        <v>8</v>
      </c>
    </row>
    <row r="1443" spans="1:9" ht="12.75">
      <c r="A1443" s="69" t="s">
        <v>255</v>
      </c>
      <c r="B1443" s="69" t="s">
        <v>93</v>
      </c>
      <c r="C1443" s="71">
        <f>(5/4)^1.58*E1443</f>
        <v>25.324321761003773</v>
      </c>
      <c r="D1443" s="70">
        <v>24.55</v>
      </c>
      <c r="E1443" s="70">
        <v>17.8</v>
      </c>
      <c r="F1443" s="72">
        <f>-((D1443-C1443)/D1443)</f>
        <v>0.031540601262882786</v>
      </c>
      <c r="G1443" s="71">
        <f>C1443-D1443</f>
        <v>0.7743217610037725</v>
      </c>
      <c r="H1443" s="70">
        <v>820</v>
      </c>
      <c r="I1443" s="70" t="s">
        <v>249</v>
      </c>
    </row>
    <row r="1444" spans="2:9" ht="12.75">
      <c r="B1444" s="69" t="s">
        <v>44</v>
      </c>
      <c r="C1444" s="71">
        <f>(5/4)^1.58*E1444</f>
        <v>28.198205466465996</v>
      </c>
      <c r="D1444" s="70">
        <v>27.33</v>
      </c>
      <c r="E1444" s="70">
        <v>19.82</v>
      </c>
      <c r="F1444" s="72">
        <f>-((D1444-C1444)/D1444)</f>
        <v>0.03176748871079393</v>
      </c>
      <c r="G1444" s="71">
        <f>C1444-D1444</f>
        <v>0.8682054664659979</v>
      </c>
      <c r="H1444" s="70">
        <v>820</v>
      </c>
      <c r="I1444" s="70" t="s">
        <v>249</v>
      </c>
    </row>
    <row r="1445" spans="2:9" ht="12.75">
      <c r="B1445" s="69" t="s">
        <v>46</v>
      </c>
      <c r="C1445" s="71">
        <f>(5/4)^1.58*E1445</f>
        <v>18.38147399731285</v>
      </c>
      <c r="D1445" s="70">
        <v>17.98</v>
      </c>
      <c r="E1445" s="70">
        <v>12.92</v>
      </c>
      <c r="F1445" s="72">
        <f>-((D1445-C1445)/D1445)</f>
        <v>0.022328920873907036</v>
      </c>
      <c r="G1445" s="71">
        <f>C1445-D1445</f>
        <v>0.4014739973128485</v>
      </c>
      <c r="H1445" s="70">
        <v>820</v>
      </c>
      <c r="I1445" s="70" t="s">
        <v>249</v>
      </c>
    </row>
    <row r="1446" spans="2:9" ht="12.75">
      <c r="B1446" s="69" t="s">
        <v>104</v>
      </c>
      <c r="C1446" s="71">
        <f>(5/4)^1.58*E1446</f>
        <v>26.647446437280937</v>
      </c>
      <c r="D1446" s="70">
        <v>26.41</v>
      </c>
      <c r="E1446" s="70">
        <v>18.73</v>
      </c>
      <c r="F1446" s="72">
        <f>-((D1446-C1446)/D1446)</f>
        <v>0.008990777632750363</v>
      </c>
      <c r="G1446" s="71">
        <f>C1446-D1446</f>
        <v>0.23744643728093706</v>
      </c>
      <c r="H1446" s="70">
        <v>820</v>
      </c>
      <c r="I1446" s="70" t="s">
        <v>249</v>
      </c>
    </row>
    <row r="1447" spans="2:9" ht="12.75">
      <c r="B1447" s="69" t="s">
        <v>105</v>
      </c>
      <c r="C1447" s="71">
        <f>(5/4)^1.58*E1447</f>
        <v>24.783690172847514</v>
      </c>
      <c r="D1447" s="70">
        <v>25.07</v>
      </c>
      <c r="E1447" s="70">
        <v>17.42</v>
      </c>
      <c r="F1447" s="72">
        <f>-((D1447-C1447)/D1447)</f>
        <v>-0.011420415921519194</v>
      </c>
      <c r="G1447" s="71">
        <f>C1447-D1447</f>
        <v>-0.2863098271524862</v>
      </c>
      <c r="H1447" s="70">
        <v>820</v>
      </c>
      <c r="I1447" s="70" t="s">
        <v>249</v>
      </c>
    </row>
    <row r="1448" spans="2:9" ht="12.75">
      <c r="B1448" s="69" t="s">
        <v>84</v>
      </c>
      <c r="C1448" s="71">
        <f>(5/4)^1.58*E1448</f>
        <v>20.65781752639184</v>
      </c>
      <c r="D1448" s="70">
        <v>20.62</v>
      </c>
      <c r="E1448" s="70">
        <v>14.52</v>
      </c>
      <c r="F1448" s="72">
        <f>-((D1448-C1448)/D1448)</f>
        <v>0.0018340216484888832</v>
      </c>
      <c r="G1448" s="71">
        <f>C1448-D1448</f>
        <v>0.03781752639184077</v>
      </c>
      <c r="H1448" s="70">
        <v>820</v>
      </c>
      <c r="I1448" s="70" t="s">
        <v>249</v>
      </c>
    </row>
    <row r="1449" spans="2:9" ht="12.75">
      <c r="B1449" s="69" t="s">
        <v>71</v>
      </c>
      <c r="C1449" s="71">
        <f>(5/4)^1.58*E1449</f>
        <v>17.485163732737995</v>
      </c>
      <c r="D1449" s="70">
        <v>18</v>
      </c>
      <c r="E1449" s="70">
        <v>12.29</v>
      </c>
      <c r="F1449" s="72">
        <f>-((D1449-C1449)/D1449)</f>
        <v>-0.02860201484788918</v>
      </c>
      <c r="G1449" s="71">
        <f>C1449-D1449</f>
        <v>-0.5148362672620053</v>
      </c>
      <c r="H1449" s="70">
        <v>820</v>
      </c>
      <c r="I1449" s="70" t="s">
        <v>249</v>
      </c>
    </row>
    <row r="1450" spans="2:9" ht="12.75">
      <c r="B1450" s="69" t="s">
        <v>50</v>
      </c>
      <c r="C1450" s="71">
        <f>(5/4)^1.58*E1450</f>
        <v>24.84059876107449</v>
      </c>
      <c r="D1450" s="70">
        <v>25.36</v>
      </c>
      <c r="E1450" s="70">
        <v>17.46</v>
      </c>
      <c r="F1450" s="72">
        <f>-((D1450-C1450)/D1450)</f>
        <v>-0.020481121408734648</v>
      </c>
      <c r="G1450" s="71">
        <f>C1450-D1450</f>
        <v>-0.5194012389255107</v>
      </c>
      <c r="H1450" s="70">
        <v>820</v>
      </c>
      <c r="I1450" s="70" t="s">
        <v>249</v>
      </c>
    </row>
    <row r="1451" spans="2:9" ht="12.75">
      <c r="B1451" s="69" t="s">
        <v>52</v>
      </c>
      <c r="C1451" s="71">
        <f>(5/4)^1.58*E1451</f>
        <v>18.879424144298877</v>
      </c>
      <c r="D1451" s="70">
        <v>19.56</v>
      </c>
      <c r="E1451" s="70">
        <v>13.27</v>
      </c>
      <c r="F1451" s="72">
        <f>-((D1451-C1451)/D1451)</f>
        <v>-0.03479426665138659</v>
      </c>
      <c r="G1451" s="71">
        <f>C1451-D1451</f>
        <v>-0.6805758557011217</v>
      </c>
      <c r="H1451" s="70">
        <v>820</v>
      </c>
      <c r="I1451" s="70" t="s">
        <v>249</v>
      </c>
    </row>
    <row r="1452" spans="1:9" ht="12.75">
      <c r="A1452" s="5"/>
      <c r="B1452" s="73"/>
      <c r="C1452" s="75"/>
      <c r="D1452" s="74"/>
      <c r="E1452" s="70" t="s">
        <v>14</v>
      </c>
      <c r="F1452" s="72">
        <f>AVERAGE(F1443:F1451)</f>
        <v>0.00012933236658815348</v>
      </c>
      <c r="G1452" s="71">
        <f>AVERAGE(G1443:G1451)</f>
        <v>0.03534911104603032</v>
      </c>
      <c r="H1452" s="74"/>
      <c r="I1452" s="74"/>
    </row>
    <row r="1453" spans="1:9" ht="12.75">
      <c r="A1453" s="5"/>
      <c r="B1453" s="73"/>
      <c r="C1453" s="75"/>
      <c r="D1453" s="74"/>
      <c r="E1453" s="70"/>
      <c r="F1453" s="72"/>
      <c r="G1453" s="71"/>
      <c r="H1453" s="74"/>
      <c r="I1453" s="74"/>
    </row>
    <row r="1454" spans="1:9" ht="12.75">
      <c r="A1454" s="73" t="s">
        <v>0</v>
      </c>
      <c r="B1454" s="73" t="s">
        <v>1</v>
      </c>
      <c r="C1454" s="74" t="s">
        <v>219</v>
      </c>
      <c r="D1454" s="74" t="s">
        <v>218</v>
      </c>
      <c r="E1454" s="74" t="s">
        <v>73</v>
      </c>
      <c r="F1454" s="74" t="s">
        <v>5</v>
      </c>
      <c r="G1454" s="74" t="s">
        <v>6</v>
      </c>
      <c r="H1454" s="74" t="s">
        <v>7</v>
      </c>
      <c r="I1454" s="74" t="s">
        <v>8</v>
      </c>
    </row>
    <row r="1455" spans="1:9" ht="12.75">
      <c r="A1455" s="73" t="s">
        <v>255</v>
      </c>
      <c r="B1455" s="73" t="s">
        <v>93</v>
      </c>
      <c r="C1455" s="75">
        <f>(5/4)^2*E1455</f>
        <v>27.8125</v>
      </c>
      <c r="D1455" s="74">
        <v>24.55</v>
      </c>
      <c r="E1455" s="74">
        <v>17.8</v>
      </c>
      <c r="F1455" s="76">
        <f>-((D1455-C1455)/D1455)</f>
        <v>0.13289205702647655</v>
      </c>
      <c r="G1455" s="75">
        <f>C1455-D1455</f>
        <v>3.2624999999999993</v>
      </c>
      <c r="H1455" s="74">
        <v>820</v>
      </c>
      <c r="I1455" s="74" t="s">
        <v>249</v>
      </c>
    </row>
    <row r="1456" spans="1:9" ht="12.75">
      <c r="A1456" s="5"/>
      <c r="B1456" s="73" t="s">
        <v>44</v>
      </c>
      <c r="C1456" s="75">
        <f>(5/4)^2*E1456</f>
        <v>30.96875</v>
      </c>
      <c r="D1456" s="74">
        <v>27.33</v>
      </c>
      <c r="E1456" s="74">
        <v>19.82</v>
      </c>
      <c r="F1456" s="76">
        <f>-((D1456-C1456)/D1456)</f>
        <v>0.1331412367361874</v>
      </c>
      <c r="G1456" s="75">
        <f>C1456-D1456</f>
        <v>3.6387500000000017</v>
      </c>
      <c r="H1456" s="74">
        <v>820</v>
      </c>
      <c r="I1456" s="74" t="s">
        <v>249</v>
      </c>
    </row>
    <row r="1457" spans="1:9" ht="12.75">
      <c r="A1457" s="5"/>
      <c r="B1457" s="73" t="s">
        <v>46</v>
      </c>
      <c r="C1457" s="75">
        <f>(5/4)^2*E1457</f>
        <v>20.1875</v>
      </c>
      <c r="D1457" s="74">
        <v>17.98</v>
      </c>
      <c r="E1457" s="74">
        <v>12.92</v>
      </c>
      <c r="F1457" s="76">
        <f>-((D1457-C1457)/D1457)</f>
        <v>0.12277530589543935</v>
      </c>
      <c r="G1457" s="75">
        <f>C1457-D1457</f>
        <v>2.2074999999999996</v>
      </c>
      <c r="H1457" s="74">
        <v>820</v>
      </c>
      <c r="I1457" s="74" t="s">
        <v>249</v>
      </c>
    </row>
    <row r="1458" spans="1:9" ht="12.75">
      <c r="A1458" s="5"/>
      <c r="B1458" s="73" t="s">
        <v>104</v>
      </c>
      <c r="C1458" s="75">
        <f>(5/4)^2*E1458</f>
        <v>29.265625</v>
      </c>
      <c r="D1458" s="74">
        <v>26.41</v>
      </c>
      <c r="E1458" s="74">
        <v>18.73</v>
      </c>
      <c r="F1458" s="76">
        <f>-((D1458-C1458)/D1458)</f>
        <v>0.10812665656948126</v>
      </c>
      <c r="G1458" s="75">
        <f>C1458-D1458</f>
        <v>2.855625</v>
      </c>
      <c r="H1458" s="74">
        <v>820</v>
      </c>
      <c r="I1458" s="74" t="s">
        <v>249</v>
      </c>
    </row>
    <row r="1459" spans="1:9" ht="12.75">
      <c r="A1459" s="5"/>
      <c r="B1459" s="73" t="s">
        <v>105</v>
      </c>
      <c r="C1459" s="75">
        <f>(5/4)^2*E1459</f>
        <v>27.218750000000004</v>
      </c>
      <c r="D1459" s="74">
        <v>25.07</v>
      </c>
      <c r="E1459" s="74">
        <v>17.42</v>
      </c>
      <c r="F1459" s="76">
        <f>-((D1459-C1459)/D1459)</f>
        <v>0.08571001196649394</v>
      </c>
      <c r="G1459" s="75">
        <f>C1459-D1459</f>
        <v>2.1487500000000033</v>
      </c>
      <c r="H1459" s="74">
        <v>820</v>
      </c>
      <c r="I1459" s="74" t="s">
        <v>249</v>
      </c>
    </row>
    <row r="1460" spans="1:9" ht="12.75">
      <c r="A1460" s="5"/>
      <c r="B1460" s="73" t="s">
        <v>84</v>
      </c>
      <c r="C1460" s="75">
        <f>(5/4)^2*E1460</f>
        <v>22.6875</v>
      </c>
      <c r="D1460" s="74">
        <v>20.62</v>
      </c>
      <c r="E1460" s="74">
        <v>14.52</v>
      </c>
      <c r="F1460" s="76">
        <f>-((D1460-C1460)/D1460)</f>
        <v>0.10026673132880692</v>
      </c>
      <c r="G1460" s="75">
        <f>C1460-D1460</f>
        <v>2.067499999999999</v>
      </c>
      <c r="H1460" s="74">
        <v>820</v>
      </c>
      <c r="I1460" s="74" t="s">
        <v>249</v>
      </c>
    </row>
    <row r="1461" spans="1:9" ht="12.75">
      <c r="A1461" s="5"/>
      <c r="B1461" s="73" t="s">
        <v>71</v>
      </c>
      <c r="C1461" s="75">
        <f>(5/4)^2*E1461</f>
        <v>19.203125</v>
      </c>
      <c r="D1461" s="74">
        <v>18</v>
      </c>
      <c r="E1461" s="74">
        <v>12.29</v>
      </c>
      <c r="F1461" s="76">
        <f>-((D1461-C1461)/D1461)</f>
        <v>0.06684027777777778</v>
      </c>
      <c r="G1461" s="75">
        <f>C1461-D1461</f>
        <v>1.203125</v>
      </c>
      <c r="H1461" s="74">
        <v>820</v>
      </c>
      <c r="I1461" s="74" t="s">
        <v>249</v>
      </c>
    </row>
    <row r="1462" spans="1:9" ht="12.75">
      <c r="A1462" s="5"/>
      <c r="B1462" s="73" t="s">
        <v>50</v>
      </c>
      <c r="C1462" s="75">
        <f>(5/4)^2*E1462</f>
        <v>27.28125</v>
      </c>
      <c r="D1462" s="74">
        <v>25.36</v>
      </c>
      <c r="E1462" s="74">
        <v>17.46</v>
      </c>
      <c r="F1462" s="76">
        <f>-((D1462-C1462)/D1462)</f>
        <v>0.07575906940063094</v>
      </c>
      <c r="G1462" s="75">
        <f>C1462-D1462</f>
        <v>1.9212500000000006</v>
      </c>
      <c r="H1462" s="74">
        <v>820</v>
      </c>
      <c r="I1462" s="74" t="s">
        <v>249</v>
      </c>
    </row>
    <row r="1463" spans="1:9" ht="12.75">
      <c r="A1463" s="5"/>
      <c r="B1463" s="73" t="s">
        <v>52</v>
      </c>
      <c r="C1463" s="75">
        <f>(5/4)^2*E1463</f>
        <v>20.734375</v>
      </c>
      <c r="D1463" s="74">
        <v>19.56</v>
      </c>
      <c r="E1463" s="74">
        <v>13.27</v>
      </c>
      <c r="F1463" s="76">
        <f>-((D1463-C1463)/D1463)</f>
        <v>0.06003962167689168</v>
      </c>
      <c r="G1463" s="75">
        <f>C1463-D1463</f>
        <v>1.1743750000000013</v>
      </c>
      <c r="H1463" s="74">
        <v>820</v>
      </c>
      <c r="I1463" s="74" t="s">
        <v>249</v>
      </c>
    </row>
    <row r="1464" spans="1:9" ht="12.75">
      <c r="A1464" s="5"/>
      <c r="B1464" s="73"/>
      <c r="C1464" s="75"/>
      <c r="D1464" s="74"/>
      <c r="E1464" s="74" t="s">
        <v>14</v>
      </c>
      <c r="F1464" s="76">
        <f>AVERAGE(F1455:F1463)</f>
        <v>0.09839455204202066</v>
      </c>
      <c r="G1464" s="75">
        <f>AVERAGE(G1455:G1463)</f>
        <v>2.2754861111111118</v>
      </c>
      <c r="H1464" s="74"/>
      <c r="I1464" s="74"/>
    </row>
    <row r="1465" spans="1:9" ht="12.75">
      <c r="A1465" s="5"/>
      <c r="B1465" s="73"/>
      <c r="C1465" s="75"/>
      <c r="D1465" s="74"/>
      <c r="E1465" s="74"/>
      <c r="F1465" s="76"/>
      <c r="G1465" s="75"/>
      <c r="H1465" s="74"/>
      <c r="I1465" s="74"/>
    </row>
    <row r="1466" spans="1:9" ht="12.75">
      <c r="A1466" s="59" t="s">
        <v>0</v>
      </c>
      <c r="B1466" s="59" t="s">
        <v>1</v>
      </c>
      <c r="C1466" s="60" t="s">
        <v>257</v>
      </c>
      <c r="D1466" s="60" t="s">
        <v>258</v>
      </c>
      <c r="E1466" s="60" t="s">
        <v>259</v>
      </c>
      <c r="F1466" s="60" t="s">
        <v>5</v>
      </c>
      <c r="G1466" s="60" t="s">
        <v>6</v>
      </c>
      <c r="H1466" s="60" t="s">
        <v>7</v>
      </c>
      <c r="I1466" s="60" t="s">
        <v>8</v>
      </c>
    </row>
    <row r="1467" spans="1:9" ht="12.75">
      <c r="A1467" s="59" t="s">
        <v>260</v>
      </c>
      <c r="B1467" s="59" t="s">
        <v>261</v>
      </c>
      <c r="C1467" s="62">
        <f>(8/7)^1.51*E1467</f>
        <v>20.92010935278515</v>
      </c>
      <c r="D1467" s="60">
        <v>20.8</v>
      </c>
      <c r="E1467" s="60">
        <v>17.1</v>
      </c>
      <c r="F1467" s="63">
        <f>-((D1467-C1467)/D1467)</f>
        <v>0.005774488114670662</v>
      </c>
      <c r="G1467" s="62">
        <f>C1467-D1467</f>
        <v>0.12010935278514978</v>
      </c>
      <c r="H1467" s="60">
        <v>1200</v>
      </c>
      <c r="I1467" s="60" t="s">
        <v>262</v>
      </c>
    </row>
    <row r="1468" spans="1:9" ht="12.75">
      <c r="A1468" s="59" t="s">
        <v>263</v>
      </c>
      <c r="B1468" s="59" t="s">
        <v>264</v>
      </c>
      <c r="C1468" s="62">
        <f>(8/7)^1.51*E1468</f>
        <v>27.771139316270343</v>
      </c>
      <c r="D1468" s="60">
        <v>26.9</v>
      </c>
      <c r="E1468" s="60">
        <v>22.7</v>
      </c>
      <c r="F1468" s="63">
        <f>-((D1468-C1468)/D1468)</f>
        <v>0.03238436119964106</v>
      </c>
      <c r="G1468" s="62">
        <f>C1468-D1468</f>
        <v>0.8711393162703445</v>
      </c>
      <c r="H1468" s="60">
        <v>1200</v>
      </c>
      <c r="I1468" s="60" t="s">
        <v>262</v>
      </c>
    </row>
    <row r="1469" spans="1:9" ht="12.75">
      <c r="A1469" s="59"/>
      <c r="B1469" s="59" t="s">
        <v>265</v>
      </c>
      <c r="C1469" s="62">
        <f>(8/7)^1.51*E1469</f>
        <v>29.606236627918165</v>
      </c>
      <c r="D1469" s="60">
        <v>30.7</v>
      </c>
      <c r="E1469" s="60">
        <v>24.2</v>
      </c>
      <c r="F1469" s="63">
        <f>-((D1469-C1469)/D1469)</f>
        <v>-0.035627471403317096</v>
      </c>
      <c r="G1469" s="62">
        <f>C1469-D1469</f>
        <v>-1.0937633720818347</v>
      </c>
      <c r="H1469" s="60">
        <v>1200</v>
      </c>
      <c r="I1469" s="60" t="s">
        <v>262</v>
      </c>
    </row>
    <row r="1470" spans="1:9" ht="12.75">
      <c r="A1470" s="59"/>
      <c r="B1470" s="59"/>
      <c r="C1470" s="62"/>
      <c r="D1470" s="60"/>
      <c r="E1470" s="60" t="s">
        <v>14</v>
      </c>
      <c r="F1470" s="63">
        <f>AVERAGE(F1467:F1469)</f>
        <v>0.0008437926369982092</v>
      </c>
      <c r="G1470" s="62">
        <f>AVERAGE(G1467:G1469)</f>
        <v>-0.03417156767544682</v>
      </c>
      <c r="H1470" s="60"/>
      <c r="I1470" s="60"/>
    </row>
    <row r="1471" spans="1:9" ht="12.75">
      <c r="A1471" s="64"/>
      <c r="B1471" s="64"/>
      <c r="C1471" s="67"/>
      <c r="D1471" s="65"/>
      <c r="E1471" s="65"/>
      <c r="F1471" s="68"/>
      <c r="G1471" s="67"/>
      <c r="H1471" s="65"/>
      <c r="I1471" s="65"/>
    </row>
    <row r="1472" spans="1:9" ht="12.75">
      <c r="A1472" s="64" t="s">
        <v>0</v>
      </c>
      <c r="B1472" s="64" t="s">
        <v>1</v>
      </c>
      <c r="C1472" s="65" t="s">
        <v>208</v>
      </c>
      <c r="D1472" s="65" t="s">
        <v>258</v>
      </c>
      <c r="E1472" s="65" t="s">
        <v>259</v>
      </c>
      <c r="F1472" s="65" t="s">
        <v>5</v>
      </c>
      <c r="G1472" s="65" t="s">
        <v>6</v>
      </c>
      <c r="H1472" s="65" t="s">
        <v>7</v>
      </c>
      <c r="I1472" s="65" t="s">
        <v>8</v>
      </c>
    </row>
    <row r="1473" spans="1:9" ht="12.75">
      <c r="A1473" s="64" t="s">
        <v>260</v>
      </c>
      <c r="B1473" s="64" t="s">
        <v>261</v>
      </c>
      <c r="C1473" s="67">
        <f>(8/7)^2*E1473</f>
        <v>22.33469387755102</v>
      </c>
      <c r="D1473" s="65">
        <v>20.8</v>
      </c>
      <c r="E1473" s="65">
        <v>17.1</v>
      </c>
      <c r="F1473" s="68">
        <f>-((D1473-C1473)/D1473)</f>
        <v>0.07378335949764524</v>
      </c>
      <c r="G1473" s="67">
        <f>C1473-D1473</f>
        <v>1.534693877551021</v>
      </c>
      <c r="H1473" s="65">
        <v>1200</v>
      </c>
      <c r="I1473" s="65" t="s">
        <v>262</v>
      </c>
    </row>
    <row r="1474" spans="1:9" ht="12.75">
      <c r="A1474" s="64" t="s">
        <v>263</v>
      </c>
      <c r="B1474" s="64" t="s">
        <v>264</v>
      </c>
      <c r="C1474" s="67">
        <f>(8/7)^2*E1474</f>
        <v>29.64897959183673</v>
      </c>
      <c r="D1474" s="65">
        <v>26.9</v>
      </c>
      <c r="E1474" s="65">
        <v>22.7</v>
      </c>
      <c r="F1474" s="68">
        <f>-((D1474-C1474)/D1474)</f>
        <v>0.10219254988240643</v>
      </c>
      <c r="G1474" s="67">
        <f>C1474-D1474</f>
        <v>2.748979591836733</v>
      </c>
      <c r="H1474" s="65">
        <v>1200</v>
      </c>
      <c r="I1474" s="65" t="s">
        <v>262</v>
      </c>
    </row>
    <row r="1475" spans="1:9" ht="12.75">
      <c r="A1475" s="64"/>
      <c r="B1475" s="64" t="s">
        <v>265</v>
      </c>
      <c r="C1475" s="67">
        <f>(8/7)^2*E1475</f>
        <v>31.608163265306118</v>
      </c>
      <c r="D1475" s="65">
        <v>30.7</v>
      </c>
      <c r="E1475" s="65">
        <v>24.2</v>
      </c>
      <c r="F1475" s="68">
        <f>-((D1475-C1475)/D1475)</f>
        <v>0.02958186531941754</v>
      </c>
      <c r="G1475" s="67">
        <f>C1475-D1475</f>
        <v>0.9081632653061185</v>
      </c>
      <c r="H1475" s="65">
        <v>1200</v>
      </c>
      <c r="I1475" s="65" t="s">
        <v>262</v>
      </c>
    </row>
    <row r="1476" spans="1:9" ht="12.75">
      <c r="A1476" s="64"/>
      <c r="B1476" s="64"/>
      <c r="C1476" s="67"/>
      <c r="D1476" s="65"/>
      <c r="E1476" s="65" t="s">
        <v>14</v>
      </c>
      <c r="F1476" s="68">
        <f>AVERAGE(F1473:F1475)</f>
        <v>0.06851925823315641</v>
      </c>
      <c r="G1476" s="67">
        <f>AVERAGE(G1473:G1475)</f>
        <v>1.7306122448979575</v>
      </c>
      <c r="H1476" s="65"/>
      <c r="I1476" s="65"/>
    </row>
    <row r="1477" spans="1:9" ht="12.75">
      <c r="A1477" s="87"/>
      <c r="B1477" s="87"/>
      <c r="C1477" s="40"/>
      <c r="D1477" s="38"/>
      <c r="E1477" s="38"/>
      <c r="F1477" s="39"/>
      <c r="G1477" s="40"/>
      <c r="H1477" s="38"/>
      <c r="I1477" s="38"/>
    </row>
    <row r="1478" spans="1:9" ht="12.75">
      <c r="A1478" s="41" t="s">
        <v>0</v>
      </c>
      <c r="B1478" s="41" t="s">
        <v>1</v>
      </c>
      <c r="C1478" s="42" t="s">
        <v>266</v>
      </c>
      <c r="D1478" s="42" t="s">
        <v>168</v>
      </c>
      <c r="E1478" s="42" t="s">
        <v>258</v>
      </c>
      <c r="F1478" s="42" t="s">
        <v>5</v>
      </c>
      <c r="G1478" s="42" t="s">
        <v>6</v>
      </c>
      <c r="H1478" s="42" t="s">
        <v>7</v>
      </c>
      <c r="I1478" s="42" t="s">
        <v>8</v>
      </c>
    </row>
    <row r="1479" spans="1:9" ht="12.75">
      <c r="A1479" s="41" t="s">
        <v>260</v>
      </c>
      <c r="B1479" s="41" t="s">
        <v>261</v>
      </c>
      <c r="C1479" s="43">
        <f>(10/8)^1.2*E1479</f>
        <v>27.186628367373107</v>
      </c>
      <c r="D1479" s="42">
        <v>27.3</v>
      </c>
      <c r="E1479" s="42">
        <v>20.8</v>
      </c>
      <c r="F1479" s="44">
        <f>-((D1479-C1479)/D1479)</f>
        <v>-0.004152807055930179</v>
      </c>
      <c r="G1479" s="43">
        <f>C1479-D1479</f>
        <v>-0.11337163262689387</v>
      </c>
      <c r="H1479" s="42">
        <v>1200</v>
      </c>
      <c r="I1479" s="42" t="s">
        <v>262</v>
      </c>
    </row>
    <row r="1480" spans="1:9" ht="12.75">
      <c r="A1480" s="41" t="s">
        <v>263</v>
      </c>
      <c r="B1480" s="41" t="s">
        <v>264</v>
      </c>
      <c r="C1480" s="43">
        <f>(10/8)^1.2*E1480</f>
        <v>35.15962995588156</v>
      </c>
      <c r="D1480" s="42">
        <v>35.8</v>
      </c>
      <c r="E1480" s="42">
        <v>26.9</v>
      </c>
      <c r="F1480" s="44">
        <f>-((D1480-C1480)/D1480)</f>
        <v>-0.01788743139995626</v>
      </c>
      <c r="G1480" s="43">
        <f>C1480-D1480</f>
        <v>-0.6403700441184341</v>
      </c>
      <c r="H1480" s="42">
        <v>1200</v>
      </c>
      <c r="I1480" s="42" t="s">
        <v>262</v>
      </c>
    </row>
    <row r="1481" spans="1:9" ht="12.75">
      <c r="A1481" s="41"/>
      <c r="B1481" s="41" t="s">
        <v>265</v>
      </c>
      <c r="C1481" s="43">
        <f>(10/8)^1.2*E1481</f>
        <v>40.12641783069011</v>
      </c>
      <c r="D1481" s="42">
        <v>39.2</v>
      </c>
      <c r="E1481" s="42">
        <v>30.7</v>
      </c>
      <c r="F1481" s="44">
        <f>-((D1481-C1481)/D1481)</f>
        <v>0.023633107925768004</v>
      </c>
      <c r="G1481" s="43">
        <f>C1481-D1481</f>
        <v>0.9264178306901059</v>
      </c>
      <c r="H1481" s="42">
        <v>1200</v>
      </c>
      <c r="I1481" s="42" t="s">
        <v>262</v>
      </c>
    </row>
    <row r="1482" spans="1:9" ht="12.75">
      <c r="A1482" s="41"/>
      <c r="B1482" s="41"/>
      <c r="C1482" s="43"/>
      <c r="D1482" s="42"/>
      <c r="E1482" s="42" t="s">
        <v>14</v>
      </c>
      <c r="F1482" s="44">
        <f>AVERAGE(F1479:F1481)</f>
        <v>0.0005309564899605214</v>
      </c>
      <c r="G1482" s="43">
        <f>AVERAGE(G1479:G1481)</f>
        <v>0.05755871798159262</v>
      </c>
      <c r="H1482" s="42"/>
      <c r="I1482" s="42"/>
    </row>
    <row r="1483" spans="1:9" ht="12.75">
      <c r="A1483" s="87"/>
      <c r="B1483" s="87"/>
      <c r="C1483" s="40"/>
      <c r="D1483" s="38"/>
      <c r="E1483" s="38"/>
      <c r="F1483" s="39"/>
      <c r="G1483" s="40"/>
      <c r="H1483" s="38"/>
      <c r="I1483" s="38"/>
    </row>
    <row r="1484" spans="1:9" ht="12.75">
      <c r="A1484" s="45" t="s">
        <v>0</v>
      </c>
      <c r="B1484" s="45" t="s">
        <v>1</v>
      </c>
      <c r="C1484" s="46" t="s">
        <v>267</v>
      </c>
      <c r="D1484" s="46" t="s">
        <v>168</v>
      </c>
      <c r="E1484" s="46" t="s">
        <v>258</v>
      </c>
      <c r="F1484" s="46" t="s">
        <v>5</v>
      </c>
      <c r="G1484" s="46" t="s">
        <v>6</v>
      </c>
      <c r="H1484" s="46" t="s">
        <v>7</v>
      </c>
      <c r="I1484" s="46" t="s">
        <v>8</v>
      </c>
    </row>
    <row r="1485" spans="1:9" ht="12.75">
      <c r="A1485" s="45" t="s">
        <v>260</v>
      </c>
      <c r="B1485" s="45" t="s">
        <v>261</v>
      </c>
      <c r="C1485" s="47">
        <f>(10/8)^2*E1485</f>
        <v>32.5</v>
      </c>
      <c r="D1485" s="46">
        <v>27.3</v>
      </c>
      <c r="E1485" s="46">
        <v>20.8</v>
      </c>
      <c r="F1485" s="48">
        <f>-((D1485-C1485)/D1485)</f>
        <v>0.19047619047619044</v>
      </c>
      <c r="G1485" s="47">
        <f>C1485-D1485</f>
        <v>5.199999999999999</v>
      </c>
      <c r="H1485" s="46">
        <v>1200</v>
      </c>
      <c r="I1485" s="46" t="s">
        <v>262</v>
      </c>
    </row>
    <row r="1486" spans="1:9" ht="12.75">
      <c r="A1486" s="45" t="s">
        <v>263</v>
      </c>
      <c r="B1486" s="45" t="s">
        <v>264</v>
      </c>
      <c r="C1486" s="47">
        <f>(10/8)^2*E1486</f>
        <v>42.03125</v>
      </c>
      <c r="D1486" s="46">
        <v>35.8</v>
      </c>
      <c r="E1486" s="46">
        <v>26.9</v>
      </c>
      <c r="F1486" s="48">
        <f>-((D1486-C1486)/D1486)</f>
        <v>0.1740572625698325</v>
      </c>
      <c r="G1486" s="47">
        <f>C1486-D1486</f>
        <v>6.231250000000003</v>
      </c>
      <c r="H1486" s="46">
        <v>1200</v>
      </c>
      <c r="I1486" s="46" t="s">
        <v>262</v>
      </c>
    </row>
    <row r="1487" spans="1:9" ht="12.75">
      <c r="A1487" s="45"/>
      <c r="B1487" s="45" t="s">
        <v>265</v>
      </c>
      <c r="C1487" s="47">
        <f>(10/8)^2*E1487</f>
        <v>47.96875</v>
      </c>
      <c r="D1487" s="46">
        <v>39.2</v>
      </c>
      <c r="E1487" s="46">
        <v>30.7</v>
      </c>
      <c r="F1487" s="48">
        <f>-((D1487-C1487)/D1487)</f>
        <v>0.22369260204081623</v>
      </c>
      <c r="G1487" s="47">
        <f>C1487-D1487</f>
        <v>8.768749999999997</v>
      </c>
      <c r="H1487" s="46">
        <v>1200</v>
      </c>
      <c r="I1487" s="46" t="s">
        <v>262</v>
      </c>
    </row>
    <row r="1488" spans="1:9" ht="12.75">
      <c r="A1488" s="45"/>
      <c r="B1488" s="45"/>
      <c r="C1488" s="47"/>
      <c r="D1488" s="46"/>
      <c r="E1488" s="46" t="s">
        <v>14</v>
      </c>
      <c r="F1488" s="48">
        <f>AVERAGE(F1485:F1487)</f>
        <v>0.19607535169561308</v>
      </c>
      <c r="G1488" s="47">
        <f>AVERAGE(G1485:G1487)</f>
        <v>6.733333333333333</v>
      </c>
      <c r="H1488" s="46"/>
      <c r="I1488" s="46"/>
    </row>
    <row r="1489" spans="1:9" ht="12.75">
      <c r="A1489" s="5"/>
      <c r="B1489" s="73"/>
      <c r="C1489" s="75"/>
      <c r="D1489" s="74"/>
      <c r="E1489" s="70"/>
      <c r="F1489" s="72"/>
      <c r="G1489" s="71"/>
      <c r="H1489" s="74"/>
      <c r="I1489" s="74"/>
    </row>
    <row r="1490" spans="1:9" ht="12.75">
      <c r="A1490" s="20" t="s">
        <v>0</v>
      </c>
      <c r="B1490" s="20" t="s">
        <v>1</v>
      </c>
      <c r="C1490" s="16" t="s">
        <v>268</v>
      </c>
      <c r="D1490" s="16" t="s">
        <v>73</v>
      </c>
      <c r="E1490" s="16" t="s">
        <v>3</v>
      </c>
      <c r="F1490" s="16" t="s">
        <v>5</v>
      </c>
      <c r="G1490" s="16" t="s">
        <v>6</v>
      </c>
      <c r="H1490" s="16" t="s">
        <v>7</v>
      </c>
      <c r="I1490" s="16" t="s">
        <v>8</v>
      </c>
    </row>
    <row r="1491" spans="1:9" ht="12.75">
      <c r="A1491" s="20" t="s">
        <v>269</v>
      </c>
      <c r="B1491" s="15" t="s">
        <v>84</v>
      </c>
      <c r="C1491" s="21">
        <f>(4/3)^1.85*E1491</f>
        <v>51.131907539379505</v>
      </c>
      <c r="D1491" s="16">
        <v>51.51</v>
      </c>
      <c r="E1491" s="16">
        <v>30.03</v>
      </c>
      <c r="F1491" s="22">
        <f>-((D1491-C1491)/D1491)</f>
        <v>-0.0073401759002231295</v>
      </c>
      <c r="G1491" s="21">
        <f>C1491-D1491</f>
        <v>-0.3780924606204934</v>
      </c>
      <c r="H1491" s="16">
        <v>1110</v>
      </c>
      <c r="I1491" s="16" t="s">
        <v>270</v>
      </c>
    </row>
    <row r="1492" spans="2:9" ht="12.75">
      <c r="B1492" s="15" t="s">
        <v>71</v>
      </c>
      <c r="C1492" s="21">
        <f>(4/3)^1.85*E1492</f>
        <v>43.537891301429696</v>
      </c>
      <c r="D1492" s="16">
        <v>43.43</v>
      </c>
      <c r="E1492" s="16">
        <v>25.57</v>
      </c>
      <c r="F1492" s="22">
        <f>-((D1492-C1492)/D1492)</f>
        <v>0.002484257458662119</v>
      </c>
      <c r="G1492" s="21">
        <f>C1492-D1492</f>
        <v>0.10789130142969583</v>
      </c>
      <c r="H1492" s="16">
        <v>1110</v>
      </c>
      <c r="I1492" s="16" t="s">
        <v>270</v>
      </c>
    </row>
    <row r="1493" spans="1:9" ht="12.75">
      <c r="A1493" s="5"/>
      <c r="B1493" s="15" t="s">
        <v>50</v>
      </c>
      <c r="C1493" s="21">
        <f>(4/3)^1.85*E1493</f>
        <v>62.795362972105096</v>
      </c>
      <c r="D1493" s="16">
        <v>61.98</v>
      </c>
      <c r="E1493" s="16">
        <v>36.88</v>
      </c>
      <c r="F1493" s="22">
        <f>-((D1493-C1493)/D1493)</f>
        <v>0.013155259311150356</v>
      </c>
      <c r="G1493" s="21">
        <f>C1493-D1493</f>
        <v>0.815362972105099</v>
      </c>
      <c r="H1493" s="16">
        <v>1110</v>
      </c>
      <c r="I1493" s="16" t="s">
        <v>270</v>
      </c>
    </row>
    <row r="1494" spans="1:9" ht="12.75">
      <c r="A1494" s="5"/>
      <c r="B1494" s="73"/>
      <c r="C1494" s="75"/>
      <c r="D1494" s="74"/>
      <c r="E1494" s="16" t="s">
        <v>14</v>
      </c>
      <c r="F1494" s="22">
        <f>AVERAGE(F1491:F1493)</f>
        <v>0.0027664469565297826</v>
      </c>
      <c r="G1494" s="21">
        <f>AVERAGE(G1491:G1493)</f>
        <v>0.18172060430476714</v>
      </c>
      <c r="H1494" s="74"/>
      <c r="I1494" s="74"/>
    </row>
    <row r="1495" spans="1:9" ht="12.75">
      <c r="A1495" s="5"/>
      <c r="B1495" s="73"/>
      <c r="C1495" s="75"/>
      <c r="D1495" s="74"/>
      <c r="E1495" s="70"/>
      <c r="F1495" s="72"/>
      <c r="G1495" s="71"/>
      <c r="H1495" s="74"/>
      <c r="I1495" s="74"/>
    </row>
    <row r="1496" spans="1:9" ht="12.75">
      <c r="A1496" s="23" t="s">
        <v>0</v>
      </c>
      <c r="B1496" s="23" t="s">
        <v>1</v>
      </c>
      <c r="C1496" s="18" t="s">
        <v>74</v>
      </c>
      <c r="D1496" s="18" t="s">
        <v>73</v>
      </c>
      <c r="E1496" s="18" t="s">
        <v>3</v>
      </c>
      <c r="F1496" s="18" t="s">
        <v>5</v>
      </c>
      <c r="G1496" s="18" t="s">
        <v>6</v>
      </c>
      <c r="H1496" s="18" t="s">
        <v>7</v>
      </c>
      <c r="I1496" s="18" t="s">
        <v>8</v>
      </c>
    </row>
    <row r="1497" spans="1:9" ht="12.75">
      <c r="A1497" s="23" t="s">
        <v>269</v>
      </c>
      <c r="B1497" s="17" t="s">
        <v>84</v>
      </c>
      <c r="C1497" s="24">
        <f>(4/3)^2*E1497</f>
        <v>53.38666666666666</v>
      </c>
      <c r="D1497" s="18">
        <v>51.51</v>
      </c>
      <c r="E1497" s="18">
        <v>30.03</v>
      </c>
      <c r="F1497" s="25">
        <f>-((D1497-C1497)/D1497)</f>
        <v>0.036433055070212876</v>
      </c>
      <c r="G1497" s="24">
        <f>C1497-D1497</f>
        <v>1.8766666666666652</v>
      </c>
      <c r="H1497" s="18">
        <v>1110</v>
      </c>
      <c r="I1497" s="18" t="s">
        <v>270</v>
      </c>
    </row>
    <row r="1498" spans="1:9" ht="12.75">
      <c r="A1498" s="5"/>
      <c r="B1498" s="17" t="s">
        <v>71</v>
      </c>
      <c r="C1498" s="24">
        <f>(4/3)^2*E1498</f>
        <v>45.45777777777778</v>
      </c>
      <c r="D1498" s="18">
        <v>43.43</v>
      </c>
      <c r="E1498" s="18">
        <v>25.57</v>
      </c>
      <c r="F1498" s="25">
        <f>-((D1498-C1498)/D1498)</f>
        <v>0.04669071558318624</v>
      </c>
      <c r="G1498" s="24">
        <f>C1498-D1498</f>
        <v>2.0277777777777786</v>
      </c>
      <c r="H1498" s="18">
        <v>1110</v>
      </c>
      <c r="I1498" s="18" t="s">
        <v>270</v>
      </c>
    </row>
    <row r="1499" spans="1:9" ht="12.75">
      <c r="A1499" s="5"/>
      <c r="B1499" s="17" t="s">
        <v>50</v>
      </c>
      <c r="C1499" s="24">
        <f>(4/3)^2*E1499</f>
        <v>65.56444444444445</v>
      </c>
      <c r="D1499" s="18">
        <v>61.98</v>
      </c>
      <c r="E1499" s="18">
        <v>36.88</v>
      </c>
      <c r="F1499" s="25">
        <f>-((D1499-C1499)/D1499)</f>
        <v>0.05783227564447323</v>
      </c>
      <c r="G1499" s="24">
        <f>C1499-D1499</f>
        <v>3.5844444444444505</v>
      </c>
      <c r="H1499" s="18">
        <v>1110</v>
      </c>
      <c r="I1499" s="18" t="s">
        <v>270</v>
      </c>
    </row>
    <row r="1500" spans="1:9" ht="12.75">
      <c r="A1500" s="5"/>
      <c r="B1500" s="73"/>
      <c r="C1500" s="75"/>
      <c r="D1500" s="74"/>
      <c r="E1500" s="18" t="s">
        <v>14</v>
      </c>
      <c r="F1500" s="25">
        <f>AVERAGE(F1497:F1499)</f>
        <v>0.046985348765957446</v>
      </c>
      <c r="G1500" s="24">
        <f>AVERAGE(G1497:G1499)</f>
        <v>2.4962962962962982</v>
      </c>
      <c r="H1500" s="74"/>
      <c r="I1500" s="74"/>
    </row>
    <row r="1501" spans="1:9" ht="12.75">
      <c r="A1501" s="5"/>
      <c r="B1501" s="73"/>
      <c r="C1501" s="75"/>
      <c r="D1501" s="74"/>
      <c r="E1501" s="18"/>
      <c r="F1501" s="25"/>
      <c r="G1501" s="24"/>
      <c r="H1501" s="74"/>
      <c r="I1501" s="74"/>
    </row>
    <row r="1502" spans="1:9" ht="12.75">
      <c r="A1502" s="20" t="s">
        <v>0</v>
      </c>
      <c r="B1502" s="20" t="s">
        <v>1</v>
      </c>
      <c r="C1502" s="16" t="s">
        <v>118</v>
      </c>
      <c r="D1502" s="16" t="s">
        <v>73</v>
      </c>
      <c r="E1502" s="16" t="s">
        <v>3</v>
      </c>
      <c r="F1502" s="16" t="s">
        <v>5</v>
      </c>
      <c r="G1502" s="16" t="s">
        <v>6</v>
      </c>
      <c r="H1502" s="16" t="s">
        <v>7</v>
      </c>
      <c r="I1502" s="16" t="s">
        <v>8</v>
      </c>
    </row>
    <row r="1503" spans="1:9" ht="12.75">
      <c r="A1503" s="20" t="s">
        <v>271</v>
      </c>
      <c r="B1503" s="15" t="s">
        <v>96</v>
      </c>
      <c r="C1503" s="21">
        <f>(4/3)^1.62*E1503</f>
        <v>45.29234710060511</v>
      </c>
      <c r="D1503" s="16">
        <v>46.76</v>
      </c>
      <c r="E1503" s="16">
        <v>28.42</v>
      </c>
      <c r="F1503" s="22">
        <f>-((D1503-C1503)/D1503)</f>
        <v>-0.03138693112478368</v>
      </c>
      <c r="G1503" s="21">
        <f>C1503-D1503</f>
        <v>-1.467652899394885</v>
      </c>
      <c r="H1503" s="16">
        <v>890</v>
      </c>
      <c r="I1503" s="16" t="s">
        <v>270</v>
      </c>
    </row>
    <row r="1504" spans="2:9" ht="12.75">
      <c r="B1504" s="15" t="s">
        <v>98</v>
      </c>
      <c r="C1504" s="21">
        <f>(4/3)^1.62*E1504</f>
        <v>47.348192553095636</v>
      </c>
      <c r="D1504" s="16">
        <v>41.67</v>
      </c>
      <c r="E1504" s="16">
        <v>29.71</v>
      </c>
      <c r="F1504" s="22">
        <f>-((D1504-C1504)/D1504)</f>
        <v>0.13626572001669388</v>
      </c>
      <c r="G1504" s="21">
        <f>C1504-D1504</f>
        <v>5.678192553095634</v>
      </c>
      <c r="H1504" s="16">
        <v>890</v>
      </c>
      <c r="I1504" s="16" t="s">
        <v>270</v>
      </c>
    </row>
    <row r="1505" spans="1:9" ht="12.75">
      <c r="A1505" s="5"/>
      <c r="B1505" s="15" t="s">
        <v>103</v>
      </c>
      <c r="C1505" s="21">
        <f>(4/3)^1.62*E1505</f>
        <v>36.9255342125623</v>
      </c>
      <c r="D1505" s="16">
        <v>38.27</v>
      </c>
      <c r="E1505" s="16">
        <v>23.17</v>
      </c>
      <c r="F1505" s="22">
        <f>-((D1505-C1505)/D1505)</f>
        <v>-0.03513106316795677</v>
      </c>
      <c r="G1505" s="21">
        <f>C1505-D1505</f>
        <v>-1.3444657874377057</v>
      </c>
      <c r="H1505" s="16">
        <v>890</v>
      </c>
      <c r="I1505" s="16" t="s">
        <v>270</v>
      </c>
    </row>
    <row r="1506" spans="1:9" ht="12.75">
      <c r="A1506" s="5"/>
      <c r="B1506" s="15" t="s">
        <v>104</v>
      </c>
      <c r="C1506" s="21">
        <f>(4/3)^1.62*E1506</f>
        <v>31.475153245494404</v>
      </c>
      <c r="D1506" s="16">
        <v>33.38</v>
      </c>
      <c r="E1506" s="16">
        <v>19.75</v>
      </c>
      <c r="F1506" s="22">
        <f>-((D1506-C1506)/D1506)</f>
        <v>-0.057065510919880116</v>
      </c>
      <c r="G1506" s="21">
        <f>C1506-D1506</f>
        <v>-1.9048467545055985</v>
      </c>
      <c r="H1506" s="16">
        <v>890</v>
      </c>
      <c r="I1506" s="16" t="s">
        <v>270</v>
      </c>
    </row>
    <row r="1507" spans="1:9" ht="12.75">
      <c r="A1507" s="5"/>
      <c r="B1507" s="15" t="s">
        <v>107</v>
      </c>
      <c r="C1507" s="21">
        <f>(4/3)^1.62*E1507</f>
        <v>41.70657014858676</v>
      </c>
      <c r="D1507" s="16">
        <v>42.18</v>
      </c>
      <c r="E1507" s="16">
        <v>26.17</v>
      </c>
      <c r="F1507" s="22">
        <f>-((D1507-C1507)/D1507)</f>
        <v>-0.01122403630662011</v>
      </c>
      <c r="G1507" s="21">
        <f>C1507-D1507</f>
        <v>-0.47342985141323624</v>
      </c>
      <c r="H1507" s="16">
        <v>890</v>
      </c>
      <c r="I1507" s="16" t="s">
        <v>270</v>
      </c>
    </row>
    <row r="1508" spans="1:9" ht="12.75">
      <c r="A1508" s="5"/>
      <c r="C1508" s="21"/>
      <c r="D1508" s="16"/>
      <c r="E1508" s="16" t="s">
        <v>14</v>
      </c>
      <c r="F1508" s="22">
        <f>AVERAGE(F1503:F1507)</f>
        <v>0.00029163569949063745</v>
      </c>
      <c r="G1508" s="21">
        <f>AVERAGE(G1503:G1507)</f>
        <v>0.09755945206884178</v>
      </c>
      <c r="H1508" s="16"/>
      <c r="I1508" s="16"/>
    </row>
    <row r="1509" spans="1:9" ht="12.75">
      <c r="A1509" s="5"/>
      <c r="B1509" s="73"/>
      <c r="C1509" s="75"/>
      <c r="D1509" s="74"/>
      <c r="E1509" s="18"/>
      <c r="F1509" s="25"/>
      <c r="G1509" s="24"/>
      <c r="H1509" s="74"/>
      <c r="I1509" s="74"/>
    </row>
    <row r="1510" spans="1:9" ht="12.75">
      <c r="A1510" s="23" t="s">
        <v>0</v>
      </c>
      <c r="B1510" s="23" t="s">
        <v>1</v>
      </c>
      <c r="C1510" s="18" t="s">
        <v>74</v>
      </c>
      <c r="D1510" s="18" t="s">
        <v>73</v>
      </c>
      <c r="E1510" s="18" t="s">
        <v>3</v>
      </c>
      <c r="F1510" s="18" t="s">
        <v>5</v>
      </c>
      <c r="G1510" s="18" t="s">
        <v>6</v>
      </c>
      <c r="H1510" s="18" t="s">
        <v>7</v>
      </c>
      <c r="I1510" s="18" t="s">
        <v>8</v>
      </c>
    </row>
    <row r="1511" spans="1:9" ht="12.75">
      <c r="A1511" s="23" t="s">
        <v>271</v>
      </c>
      <c r="B1511" s="17" t="s">
        <v>96</v>
      </c>
      <c r="C1511" s="24">
        <f>(4/3)^2*E1511</f>
        <v>50.52444444444444</v>
      </c>
      <c r="D1511" s="18">
        <v>46.76</v>
      </c>
      <c r="E1511" s="18">
        <v>28.42</v>
      </c>
      <c r="F1511" s="25">
        <f>-((D1511-C1511)/D1511)</f>
        <v>0.08050565535595473</v>
      </c>
      <c r="G1511" s="24">
        <f>C1511-D1511</f>
        <v>3.764444444444443</v>
      </c>
      <c r="H1511" s="18">
        <v>890</v>
      </c>
      <c r="I1511" s="18" t="s">
        <v>270</v>
      </c>
    </row>
    <row r="1512" spans="1:9" ht="12.75">
      <c r="A1512" s="5"/>
      <c r="B1512" s="17" t="s">
        <v>98</v>
      </c>
      <c r="C1512" s="24">
        <f>(4/3)^2*E1512</f>
        <v>52.81777777777778</v>
      </c>
      <c r="D1512" s="18">
        <v>41.67</v>
      </c>
      <c r="E1512" s="18">
        <v>29.71</v>
      </c>
      <c r="F1512" s="25">
        <f>-((D1512-C1512)/D1512)</f>
        <v>0.267525264645495</v>
      </c>
      <c r="G1512" s="24">
        <f>C1512-D1512</f>
        <v>11.147777777777776</v>
      </c>
      <c r="H1512" s="18">
        <v>890</v>
      </c>
      <c r="I1512" s="18" t="s">
        <v>270</v>
      </c>
    </row>
    <row r="1513" spans="1:9" ht="12.75">
      <c r="A1513" s="5"/>
      <c r="B1513" s="17" t="s">
        <v>103</v>
      </c>
      <c r="C1513" s="24">
        <f>(4/3)^2*E1513</f>
        <v>41.19111111111111</v>
      </c>
      <c r="D1513" s="18">
        <v>38.27</v>
      </c>
      <c r="E1513" s="18">
        <v>23.17</v>
      </c>
      <c r="F1513" s="25">
        <f>-((D1513-C1513)/D1513)</f>
        <v>0.07632900734546928</v>
      </c>
      <c r="G1513" s="24">
        <f>C1513-D1513</f>
        <v>2.9211111111111094</v>
      </c>
      <c r="H1513" s="18">
        <v>890</v>
      </c>
      <c r="I1513" s="18" t="s">
        <v>270</v>
      </c>
    </row>
    <row r="1514" spans="1:9" ht="12.75">
      <c r="A1514" s="5"/>
      <c r="B1514" s="17" t="s">
        <v>104</v>
      </c>
      <c r="C1514" s="24">
        <f>(4/3)^2*E1514</f>
        <v>35.11111111111111</v>
      </c>
      <c r="D1514" s="18">
        <v>33.38</v>
      </c>
      <c r="E1514" s="18">
        <v>19.75</v>
      </c>
      <c r="F1514" s="25">
        <f>-((D1514-C1514)/D1514)</f>
        <v>0.05186072831369396</v>
      </c>
      <c r="G1514" s="24">
        <f>C1514-D1514</f>
        <v>1.7311111111111046</v>
      </c>
      <c r="H1514" s="18">
        <v>890</v>
      </c>
      <c r="I1514" s="18" t="s">
        <v>270</v>
      </c>
    </row>
    <row r="1515" spans="1:9" ht="12.75">
      <c r="A1515" s="5"/>
      <c r="B1515" s="17" t="s">
        <v>107</v>
      </c>
      <c r="C1515" s="24">
        <f>(4/3)^2*E1515</f>
        <v>46.52444444444445</v>
      </c>
      <c r="D1515" s="18">
        <v>42.18</v>
      </c>
      <c r="E1515" s="18">
        <v>26.17</v>
      </c>
      <c r="F1515" s="25">
        <f>-((D1515-C1515)/D1515)</f>
        <v>0.10299773457668204</v>
      </c>
      <c r="G1515" s="24">
        <f>C1515-D1515</f>
        <v>4.3444444444444485</v>
      </c>
      <c r="H1515" s="18">
        <v>890</v>
      </c>
      <c r="I1515" s="18" t="s">
        <v>270</v>
      </c>
    </row>
    <row r="1516" spans="1:9" ht="12.75">
      <c r="A1516" s="5"/>
      <c r="B1516" s="5"/>
      <c r="C1516" s="24"/>
      <c r="D1516" s="18"/>
      <c r="E1516" s="18" t="s">
        <v>14</v>
      </c>
      <c r="F1516" s="25">
        <f>AVERAGE(F1511:F1515)</f>
        <v>0.11584367804745901</v>
      </c>
      <c r="G1516" s="24">
        <f>AVERAGE(G1511:G1515)</f>
        <v>4.781777777777776</v>
      </c>
      <c r="H1516" s="18"/>
      <c r="I1516" s="18"/>
    </row>
    <row r="1517" spans="1:9" ht="12.75">
      <c r="A1517" s="5"/>
      <c r="B1517" s="5"/>
      <c r="C1517" s="24"/>
      <c r="D1517" s="18"/>
      <c r="E1517" s="18"/>
      <c r="F1517" s="25"/>
      <c r="G1517" s="24"/>
      <c r="H1517" s="18"/>
      <c r="I1517" s="18"/>
    </row>
    <row r="1518" spans="1:9" ht="12.75">
      <c r="A1518" s="69" t="s">
        <v>0</v>
      </c>
      <c r="B1518" s="69" t="s">
        <v>1</v>
      </c>
      <c r="C1518" s="70" t="s">
        <v>235</v>
      </c>
      <c r="D1518" s="70" t="s">
        <v>218</v>
      </c>
      <c r="E1518" s="70" t="s">
        <v>73</v>
      </c>
      <c r="F1518" s="70" t="s">
        <v>5</v>
      </c>
      <c r="G1518" s="70" t="s">
        <v>6</v>
      </c>
      <c r="H1518" s="70" t="s">
        <v>7</v>
      </c>
      <c r="I1518" s="70" t="s">
        <v>8</v>
      </c>
    </row>
    <row r="1519" spans="1:9" ht="12.75">
      <c r="A1519" s="69" t="s">
        <v>271</v>
      </c>
      <c r="B1519" s="69" t="s">
        <v>105</v>
      </c>
      <c r="C1519" s="71">
        <f>(5/4)^1.82*E1519</f>
        <v>44.098926252371385</v>
      </c>
      <c r="D1519" s="70">
        <v>44.57</v>
      </c>
      <c r="E1519" s="70">
        <v>29.38</v>
      </c>
      <c r="F1519" s="72">
        <f>-((D1519-C1519)/D1519)</f>
        <v>-0.010569301046188367</v>
      </c>
      <c r="G1519" s="71">
        <f>C1519-D1519</f>
        <v>-0.47107374762861554</v>
      </c>
      <c r="H1519" s="70">
        <v>890</v>
      </c>
      <c r="I1519" s="70" t="s">
        <v>270</v>
      </c>
    </row>
    <row r="1520" spans="2:9" ht="12.75">
      <c r="B1520" s="69" t="s">
        <v>83</v>
      </c>
      <c r="C1520" s="71">
        <f>(5/4)^1.82*E1520</f>
        <v>57.067432815356035</v>
      </c>
      <c r="D1520" s="70">
        <v>56.21</v>
      </c>
      <c r="E1520" s="70">
        <v>38.02</v>
      </c>
      <c r="F1520" s="72">
        <f>-((D1520-C1520)/D1520)</f>
        <v>0.015254097408931407</v>
      </c>
      <c r="G1520" s="71">
        <f>C1520-D1520</f>
        <v>0.8574328153560344</v>
      </c>
      <c r="H1520" s="70">
        <v>890</v>
      </c>
      <c r="I1520" s="70" t="s">
        <v>270</v>
      </c>
    </row>
    <row r="1521" spans="2:9" ht="12.75">
      <c r="B1521" s="69" t="s">
        <v>84</v>
      </c>
      <c r="C1521" s="71">
        <f>(5/4)^1.82*E1521</f>
        <v>36.954239766282626</v>
      </c>
      <c r="D1521" s="70">
        <v>37.08</v>
      </c>
      <c r="E1521" s="70">
        <v>24.62</v>
      </c>
      <c r="F1521" s="72">
        <f>-((D1521-C1521)/D1521)</f>
        <v>-0.0033915920635753027</v>
      </c>
      <c r="G1521" s="71">
        <f>C1521-D1521</f>
        <v>-0.12576023371737222</v>
      </c>
      <c r="H1521" s="70">
        <v>890</v>
      </c>
      <c r="I1521" s="70" t="s">
        <v>270</v>
      </c>
    </row>
    <row r="1522" spans="1:9" ht="12.75">
      <c r="A1522" s="5"/>
      <c r="B1522" s="69" t="s">
        <v>71</v>
      </c>
      <c r="C1522" s="71">
        <f>(5/4)^1.82*E1522</f>
        <v>31.070380307150703</v>
      </c>
      <c r="D1522" s="70">
        <v>31.12</v>
      </c>
      <c r="E1522" s="70">
        <v>20.7</v>
      </c>
      <c r="F1522" s="72">
        <f>-((D1522-C1522)/D1522)</f>
        <v>-0.001594463137830906</v>
      </c>
      <c r="G1522" s="71">
        <f>C1522-D1522</f>
        <v>-0.04961969284929779</v>
      </c>
      <c r="H1522" s="70">
        <v>890</v>
      </c>
      <c r="I1522" s="70" t="s">
        <v>270</v>
      </c>
    </row>
    <row r="1523" spans="1:9" ht="12.75">
      <c r="A1523" s="5"/>
      <c r="B1523" s="69" t="s">
        <v>50</v>
      </c>
      <c r="C1523" s="71">
        <f>(5/4)^1.82*E1523</f>
        <v>45.524861580477335</v>
      </c>
      <c r="D1523" s="70">
        <v>45.21</v>
      </c>
      <c r="E1523" s="70">
        <v>30.33</v>
      </c>
      <c r="F1523" s="72">
        <f>-((D1523-C1523)/D1523)</f>
        <v>0.00696442336822239</v>
      </c>
      <c r="G1523" s="71">
        <f>C1523-D1523</f>
        <v>0.31486158047733426</v>
      </c>
      <c r="H1523" s="70">
        <v>890</v>
      </c>
      <c r="I1523" s="70" t="s">
        <v>270</v>
      </c>
    </row>
    <row r="1524" spans="1:9" ht="12.75">
      <c r="A1524" s="5"/>
      <c r="B1524" s="5"/>
      <c r="C1524" s="24"/>
      <c r="D1524" s="18"/>
      <c r="E1524" s="70" t="s">
        <v>14</v>
      </c>
      <c r="F1524" s="72">
        <f>AVERAGE(F1519:F1523)</f>
        <v>0.001332632905911844</v>
      </c>
      <c r="G1524" s="71">
        <f>AVERAGE(G1519:G1523)</f>
        <v>0.10516814432761663</v>
      </c>
      <c r="H1524" s="18"/>
      <c r="I1524" s="18"/>
    </row>
    <row r="1525" spans="1:9" ht="12.75">
      <c r="A1525" s="5"/>
      <c r="B1525" s="5"/>
      <c r="C1525" s="24"/>
      <c r="D1525" s="18"/>
      <c r="E1525" s="18"/>
      <c r="F1525" s="25"/>
      <c r="G1525" s="24"/>
      <c r="H1525" s="18"/>
      <c r="I1525" s="18"/>
    </row>
    <row r="1526" spans="1:9" ht="12.75">
      <c r="A1526" s="73" t="s">
        <v>0</v>
      </c>
      <c r="B1526" s="73" t="s">
        <v>1</v>
      </c>
      <c r="C1526" s="74" t="s">
        <v>219</v>
      </c>
      <c r="D1526" s="74" t="s">
        <v>218</v>
      </c>
      <c r="E1526" s="74" t="s">
        <v>73</v>
      </c>
      <c r="F1526" s="74" t="s">
        <v>5</v>
      </c>
      <c r="G1526" s="74" t="s">
        <v>6</v>
      </c>
      <c r="H1526" s="74" t="s">
        <v>7</v>
      </c>
      <c r="I1526" s="74" t="s">
        <v>8</v>
      </c>
    </row>
    <row r="1527" spans="1:9" ht="12.75">
      <c r="A1527" s="73" t="s">
        <v>271</v>
      </c>
      <c r="B1527" s="73" t="s">
        <v>105</v>
      </c>
      <c r="C1527" s="75">
        <f>(5/4)^2*E1527</f>
        <v>45.90625</v>
      </c>
      <c r="D1527" s="74">
        <v>44.57</v>
      </c>
      <c r="E1527" s="74">
        <v>29.38</v>
      </c>
      <c r="F1527" s="76">
        <f>-((D1527-C1527)/D1527)</f>
        <v>0.029980928875925503</v>
      </c>
      <c r="G1527" s="75">
        <f>C1527-D1527</f>
        <v>1.3362499999999997</v>
      </c>
      <c r="H1527" s="74">
        <v>890</v>
      </c>
      <c r="I1527" s="74" t="s">
        <v>270</v>
      </c>
    </row>
    <row r="1528" spans="1:9" ht="12.75">
      <c r="A1528" s="5"/>
      <c r="B1528" s="73" t="s">
        <v>83</v>
      </c>
      <c r="C1528" s="75">
        <f>(5/4)^2*E1528</f>
        <v>59.40625000000001</v>
      </c>
      <c r="D1528" s="74">
        <v>56.21</v>
      </c>
      <c r="E1528" s="74">
        <v>38.02</v>
      </c>
      <c r="F1528" s="76">
        <f>-((D1528-C1528)/D1528)</f>
        <v>0.05686265789005526</v>
      </c>
      <c r="G1528" s="75">
        <f>C1528-D1528</f>
        <v>3.1962500000000063</v>
      </c>
      <c r="H1528" s="74">
        <v>890</v>
      </c>
      <c r="I1528" s="74" t="s">
        <v>270</v>
      </c>
    </row>
    <row r="1529" spans="1:9" ht="12.75">
      <c r="A1529" s="5"/>
      <c r="B1529" s="73" t="s">
        <v>84</v>
      </c>
      <c r="C1529" s="75">
        <f>(5/4)^2*E1529</f>
        <v>38.46875</v>
      </c>
      <c r="D1529" s="74">
        <v>37.08</v>
      </c>
      <c r="E1529" s="74">
        <v>24.62</v>
      </c>
      <c r="F1529" s="76">
        <f>-((D1529-C1529)/D1529)</f>
        <v>0.037452804746494116</v>
      </c>
      <c r="G1529" s="75">
        <f>C1529-D1529</f>
        <v>1.3887500000000017</v>
      </c>
      <c r="H1529" s="74">
        <v>890</v>
      </c>
      <c r="I1529" s="74" t="s">
        <v>270</v>
      </c>
    </row>
    <row r="1530" spans="1:9" ht="12.75">
      <c r="A1530" s="5"/>
      <c r="B1530" s="73" t="s">
        <v>71</v>
      </c>
      <c r="C1530" s="75">
        <f>(5/4)^2*E1530</f>
        <v>32.34375</v>
      </c>
      <c r="D1530" s="74">
        <v>31.12</v>
      </c>
      <c r="E1530" s="74">
        <v>20.7</v>
      </c>
      <c r="F1530" s="76">
        <f>-((D1530-C1530)/D1530)</f>
        <v>0.039323586118251895</v>
      </c>
      <c r="G1530" s="75">
        <f>C1530-D1530</f>
        <v>1.223749999999999</v>
      </c>
      <c r="H1530" s="74">
        <v>890</v>
      </c>
      <c r="I1530" s="74" t="s">
        <v>270</v>
      </c>
    </row>
    <row r="1531" spans="1:9" ht="12.75">
      <c r="A1531" s="5"/>
      <c r="B1531" s="73" t="s">
        <v>50</v>
      </c>
      <c r="C1531" s="75">
        <f>(5/4)^2*E1531</f>
        <v>47.390625</v>
      </c>
      <c r="D1531" s="74">
        <v>45.21</v>
      </c>
      <c r="E1531" s="74">
        <v>30.33</v>
      </c>
      <c r="F1531" s="76">
        <f>-((D1531-C1531)/D1531)</f>
        <v>0.04823324485733243</v>
      </c>
      <c r="G1531" s="75">
        <f>C1531-D1531</f>
        <v>2.180624999999999</v>
      </c>
      <c r="H1531" s="74">
        <v>890</v>
      </c>
      <c r="I1531" s="74" t="s">
        <v>270</v>
      </c>
    </row>
    <row r="1532" spans="1:9" ht="12.75">
      <c r="A1532" s="5"/>
      <c r="B1532" s="5"/>
      <c r="C1532" s="24"/>
      <c r="D1532" s="18"/>
      <c r="E1532" s="74" t="s">
        <v>14</v>
      </c>
      <c r="F1532" s="76">
        <f>AVERAGE(F1527:F1531)</f>
        <v>0.04237064449761184</v>
      </c>
      <c r="G1532" s="75">
        <f>AVERAGE(G1527:G1531)</f>
        <v>1.8651250000000013</v>
      </c>
      <c r="H1532" s="18"/>
      <c r="I1532" s="18"/>
    </row>
    <row r="1533" spans="1:9" ht="12.75">
      <c r="A1533" s="5"/>
      <c r="B1533" s="73"/>
      <c r="C1533" s="75"/>
      <c r="D1533" s="74"/>
      <c r="E1533" s="18"/>
      <c r="F1533" s="25"/>
      <c r="G1533" s="24"/>
      <c r="H1533" s="74"/>
      <c r="I1533" s="74"/>
    </row>
    <row r="1534" spans="1:9" ht="12.75">
      <c r="A1534" s="20" t="s">
        <v>0</v>
      </c>
      <c r="B1534" s="20" t="s">
        <v>1</v>
      </c>
      <c r="C1534" s="16" t="s">
        <v>232</v>
      </c>
      <c r="D1534" s="16" t="s">
        <v>73</v>
      </c>
      <c r="E1534" s="16" t="s">
        <v>3</v>
      </c>
      <c r="F1534" s="16" t="s">
        <v>5</v>
      </c>
      <c r="G1534" s="16" t="s">
        <v>6</v>
      </c>
      <c r="H1534" s="16" t="s">
        <v>7</v>
      </c>
      <c r="I1534" s="16" t="s">
        <v>8</v>
      </c>
    </row>
    <row r="1535" spans="1:9" ht="12.75">
      <c r="A1535" s="20" t="s">
        <v>272</v>
      </c>
      <c r="B1535" s="20" t="s">
        <v>96</v>
      </c>
      <c r="C1535" s="21">
        <f>(4/3)^1.79*E1535</f>
        <v>37.45419098720281</v>
      </c>
      <c r="D1535" s="16">
        <v>37.33</v>
      </c>
      <c r="E1535" s="16">
        <v>22.38</v>
      </c>
      <c r="F1535" s="22">
        <f>-((D1535-C1535)/D1535)</f>
        <v>0.003326841339480548</v>
      </c>
      <c r="G1535" s="21">
        <f>C1535-D1535</f>
        <v>0.12419098720280886</v>
      </c>
      <c r="H1535" s="16">
        <v>780</v>
      </c>
      <c r="I1535" s="16" t="s">
        <v>270</v>
      </c>
    </row>
    <row r="1536" spans="2:9" ht="12.75">
      <c r="B1536" s="20" t="s">
        <v>122</v>
      </c>
      <c r="C1536" s="21">
        <f>(4/3)^1.79*E1536</f>
        <v>42.17361987835169</v>
      </c>
      <c r="D1536" s="16">
        <v>42.65</v>
      </c>
      <c r="E1536" s="16">
        <v>25.2</v>
      </c>
      <c r="F1536" s="22">
        <f>-((D1536-C1536)/D1536)</f>
        <v>-0.011169522195740016</v>
      </c>
      <c r="G1536" s="21">
        <f>C1536-D1536</f>
        <v>-0.47638012164831167</v>
      </c>
      <c r="H1536" s="16">
        <v>780</v>
      </c>
      <c r="I1536" s="16" t="s">
        <v>270</v>
      </c>
    </row>
    <row r="1537" spans="2:9" ht="12.75">
      <c r="B1537" s="20" t="s">
        <v>97</v>
      </c>
      <c r="C1537" s="21">
        <f>(4/3)^1.79*E1537</f>
        <v>39.04406951436289</v>
      </c>
      <c r="D1537" s="16">
        <v>39.1</v>
      </c>
      <c r="E1537" s="16">
        <v>23.33</v>
      </c>
      <c r="F1537" s="22">
        <f>-((D1537-C1537)/D1537)</f>
        <v>-0.0014304472029952118</v>
      </c>
      <c r="G1537" s="21">
        <f>C1537-D1537</f>
        <v>-0.05593048563711278</v>
      </c>
      <c r="H1537" s="16">
        <v>780</v>
      </c>
      <c r="I1537" s="16" t="s">
        <v>270</v>
      </c>
    </row>
    <row r="1538" spans="2:9" ht="12.75">
      <c r="B1538" s="20" t="s">
        <v>98</v>
      </c>
      <c r="C1538" s="21">
        <f>(4/3)^1.79*E1538</f>
        <v>32.71802653261014</v>
      </c>
      <c r="D1538" s="16">
        <v>33.36</v>
      </c>
      <c r="E1538" s="16">
        <v>19.55</v>
      </c>
      <c r="F1538" s="22">
        <f>-((D1538-C1538)/D1538)</f>
        <v>-0.019243808974516195</v>
      </c>
      <c r="G1538" s="21">
        <f>C1538-D1538</f>
        <v>-0.6419734673898603</v>
      </c>
      <c r="H1538" s="16">
        <v>780</v>
      </c>
      <c r="I1538" s="16" t="s">
        <v>270</v>
      </c>
    </row>
    <row r="1539" spans="2:9" ht="12.75">
      <c r="B1539" s="20" t="s">
        <v>101</v>
      </c>
      <c r="C1539" s="21">
        <f>(4/3)^1.79*E1539</f>
        <v>45.821972709097984</v>
      </c>
      <c r="D1539" s="16">
        <v>44.17</v>
      </c>
      <c r="E1539" s="16">
        <v>27.38</v>
      </c>
      <c r="F1539" s="22">
        <f>-((D1539-C1539)/D1539)</f>
        <v>0.03740033301104783</v>
      </c>
      <c r="G1539" s="21">
        <f>C1539-D1539</f>
        <v>1.6519727090979828</v>
      </c>
      <c r="H1539" s="16">
        <v>780</v>
      </c>
      <c r="I1539" s="16" t="s">
        <v>270</v>
      </c>
    </row>
    <row r="1540" spans="2:9" ht="12.75">
      <c r="B1540" s="20" t="s">
        <v>103</v>
      </c>
      <c r="C1540" s="21">
        <f>(4/3)^1.79*E1540</f>
        <v>31.2285613861128</v>
      </c>
      <c r="D1540" s="16">
        <v>30.82</v>
      </c>
      <c r="E1540" s="16">
        <v>18.66</v>
      </c>
      <c r="F1540" s="22">
        <f>-((D1540-C1540)/D1540)</f>
        <v>0.0132563720348086</v>
      </c>
      <c r="G1540" s="21">
        <f>C1540-D1540</f>
        <v>0.408561386112801</v>
      </c>
      <c r="H1540" s="16">
        <v>780</v>
      </c>
      <c r="I1540" s="16" t="s">
        <v>270</v>
      </c>
    </row>
    <row r="1541" spans="2:9" ht="12.75">
      <c r="B1541" s="20" t="s">
        <v>104</v>
      </c>
      <c r="C1541" s="21">
        <f>(4/3)^1.79*E1541</f>
        <v>26.057272281981582</v>
      </c>
      <c r="D1541" s="16">
        <v>26.43</v>
      </c>
      <c r="E1541" s="16">
        <v>15.57</v>
      </c>
      <c r="F1541" s="22">
        <f>-((D1541-C1541)/D1541)</f>
        <v>-0.014102448657526198</v>
      </c>
      <c r="G1541" s="21">
        <f>C1541-D1541</f>
        <v>-0.3727277180184174</v>
      </c>
      <c r="H1541" s="16">
        <v>780</v>
      </c>
      <c r="I1541" s="16" t="s">
        <v>270</v>
      </c>
    </row>
    <row r="1542" spans="2:8" ht="12.75">
      <c r="B1542" s="20"/>
      <c r="C1542" s="21"/>
      <c r="D1542" s="16"/>
      <c r="E1542" s="16" t="s">
        <v>14</v>
      </c>
      <c r="F1542" s="22">
        <f>AVERAGE(F1535:F1541)</f>
        <v>0.0011481884792227657</v>
      </c>
      <c r="G1542" s="21">
        <f>AVERAGE(G1535:G1541)</f>
        <v>0.09110189853141293</v>
      </c>
      <c r="H1542" s="16"/>
    </row>
    <row r="1544" spans="1:9" ht="12.75">
      <c r="A1544" s="23" t="s">
        <v>0</v>
      </c>
      <c r="B1544" s="23" t="s">
        <v>1</v>
      </c>
      <c r="C1544" s="18" t="s">
        <v>74</v>
      </c>
      <c r="D1544" s="18" t="s">
        <v>73</v>
      </c>
      <c r="E1544" s="18" t="s">
        <v>3</v>
      </c>
      <c r="F1544" s="18" t="s">
        <v>5</v>
      </c>
      <c r="G1544" s="18" t="s">
        <v>6</v>
      </c>
      <c r="H1544" s="18" t="s">
        <v>7</v>
      </c>
      <c r="I1544" s="18" t="s">
        <v>8</v>
      </c>
    </row>
    <row r="1545" spans="1:9" ht="12.75">
      <c r="A1545" s="23" t="s">
        <v>272</v>
      </c>
      <c r="B1545" s="23" t="s">
        <v>96</v>
      </c>
      <c r="C1545" s="24">
        <f>(4/3)^2*E1545</f>
        <v>39.78666666666666</v>
      </c>
      <c r="D1545" s="18">
        <v>37.33</v>
      </c>
      <c r="E1545" s="18">
        <v>22.38</v>
      </c>
      <c r="F1545" s="25">
        <f>-((D1545-C1545)/D1545)</f>
        <v>0.06580944727207778</v>
      </c>
      <c r="G1545" s="24">
        <f>C1545-D1545</f>
        <v>2.4566666666666634</v>
      </c>
      <c r="H1545" s="18">
        <v>780</v>
      </c>
      <c r="I1545" s="18" t="s">
        <v>270</v>
      </c>
    </row>
    <row r="1546" spans="1:9" ht="12.75">
      <c r="A1546" s="5"/>
      <c r="B1546" s="23" t="s">
        <v>122</v>
      </c>
      <c r="C1546" s="24">
        <f>(4/3)^2*E1546</f>
        <v>44.8</v>
      </c>
      <c r="D1546" s="18">
        <v>42.65</v>
      </c>
      <c r="E1546" s="18">
        <v>25.2</v>
      </c>
      <c r="F1546" s="25">
        <f>-((D1546-C1546)/D1546)</f>
        <v>0.05041031652989446</v>
      </c>
      <c r="G1546" s="24">
        <f>C1546-D1546</f>
        <v>2.1499999999999986</v>
      </c>
      <c r="H1546" s="18">
        <v>780</v>
      </c>
      <c r="I1546" s="18" t="s">
        <v>270</v>
      </c>
    </row>
    <row r="1547" spans="1:9" ht="12.75">
      <c r="A1547" s="5"/>
      <c r="B1547" s="23" t="s">
        <v>97</v>
      </c>
      <c r="C1547" s="24">
        <f>(4/3)^2*E1547</f>
        <v>41.47555555555555</v>
      </c>
      <c r="D1547" s="18">
        <v>39.1</v>
      </c>
      <c r="E1547" s="18">
        <v>23.33</v>
      </c>
      <c r="F1547" s="25">
        <f>-((D1547-C1547)/D1547)</f>
        <v>0.060755896561523026</v>
      </c>
      <c r="G1547" s="24">
        <f>C1547-D1547</f>
        <v>2.3755555555555503</v>
      </c>
      <c r="H1547" s="18">
        <v>780</v>
      </c>
      <c r="I1547" s="18" t="s">
        <v>270</v>
      </c>
    </row>
    <row r="1548" spans="1:9" ht="12.75">
      <c r="A1548" s="5"/>
      <c r="B1548" s="23" t="s">
        <v>98</v>
      </c>
      <c r="C1548" s="24">
        <f>(4/3)^2*E1548</f>
        <v>34.75555555555555</v>
      </c>
      <c r="D1548" s="18">
        <v>33.36</v>
      </c>
      <c r="E1548" s="18">
        <v>19.55</v>
      </c>
      <c r="F1548" s="25">
        <f>-((D1548-C1548)/D1548)</f>
        <v>0.04183320010658134</v>
      </c>
      <c r="G1548" s="24">
        <f>C1548-D1548</f>
        <v>1.3955555555555534</v>
      </c>
      <c r="H1548" s="18">
        <v>780</v>
      </c>
      <c r="I1548" s="18" t="s">
        <v>270</v>
      </c>
    </row>
    <row r="1549" spans="1:9" ht="12.75">
      <c r="A1549" s="5"/>
      <c r="B1549" s="23" t="s">
        <v>101</v>
      </c>
      <c r="C1549" s="24">
        <f>(4/3)^2*E1549</f>
        <v>48.675555555555555</v>
      </c>
      <c r="D1549" s="18">
        <v>44.17</v>
      </c>
      <c r="E1549" s="18">
        <v>27.38</v>
      </c>
      <c r="F1549" s="25">
        <f>-((D1549-C1549)/D1549)</f>
        <v>0.10200488013483253</v>
      </c>
      <c r="G1549" s="24">
        <f>C1549-D1549</f>
        <v>4.505555555555553</v>
      </c>
      <c r="H1549" s="18">
        <v>780</v>
      </c>
      <c r="I1549" s="18" t="s">
        <v>270</v>
      </c>
    </row>
    <row r="1550" spans="1:9" ht="12.75">
      <c r="A1550" s="5"/>
      <c r="B1550" s="23" t="s">
        <v>103</v>
      </c>
      <c r="C1550" s="24">
        <f>(4/3)^2*E1550</f>
        <v>33.17333333333333</v>
      </c>
      <c r="D1550" s="18">
        <v>30.82</v>
      </c>
      <c r="E1550" s="18">
        <v>18.66</v>
      </c>
      <c r="F1550" s="25">
        <f>-((D1550-C1550)/D1550)</f>
        <v>0.07635734371620155</v>
      </c>
      <c r="G1550" s="24">
        <f>C1550-D1550</f>
        <v>2.3533333333333317</v>
      </c>
      <c r="H1550" s="18">
        <v>780</v>
      </c>
      <c r="I1550" s="18" t="s">
        <v>270</v>
      </c>
    </row>
    <row r="1551" spans="1:9" ht="12.75">
      <c r="A1551" s="5"/>
      <c r="B1551" s="23" t="s">
        <v>104</v>
      </c>
      <c r="C1551" s="24">
        <f>(4/3)^2*E1551</f>
        <v>27.68</v>
      </c>
      <c r="D1551" s="18">
        <v>26.43</v>
      </c>
      <c r="E1551" s="18">
        <v>15.57</v>
      </c>
      <c r="F1551" s="25">
        <f>-((D1551-C1551)/D1551)</f>
        <v>0.04729474082482028</v>
      </c>
      <c r="G1551" s="24">
        <f>C1551-D1551</f>
        <v>1.25</v>
      </c>
      <c r="H1551" s="18">
        <v>780</v>
      </c>
      <c r="I1551" s="18" t="s">
        <v>270</v>
      </c>
    </row>
    <row r="1552" spans="1:9" ht="12.75">
      <c r="A1552" s="5"/>
      <c r="B1552" s="23"/>
      <c r="C1552" s="24"/>
      <c r="D1552" s="18"/>
      <c r="E1552" s="18" t="s">
        <v>14</v>
      </c>
      <c r="F1552" s="25">
        <f>AVERAGE(F1545:F1551)</f>
        <v>0.06349511787799014</v>
      </c>
      <c r="G1552" s="24">
        <f>AVERAGE(G1545:G1551)</f>
        <v>2.355238095238093</v>
      </c>
      <c r="H1552" s="18"/>
      <c r="I1552" s="5"/>
    </row>
    <row r="1553" spans="1:9" ht="12.75">
      <c r="A1553" s="5"/>
      <c r="C1553" s="21"/>
      <c r="D1553" s="16"/>
      <c r="E1553" s="16"/>
      <c r="F1553" s="22"/>
      <c r="G1553" s="21"/>
      <c r="H1553" s="16"/>
      <c r="I1553" s="16"/>
    </row>
    <row r="1554" spans="1:9" ht="12.75">
      <c r="A1554" s="69" t="s">
        <v>0</v>
      </c>
      <c r="B1554" s="69" t="s">
        <v>1</v>
      </c>
      <c r="C1554" s="70" t="s">
        <v>273</v>
      </c>
      <c r="D1554" s="70" t="s">
        <v>73</v>
      </c>
      <c r="E1554" s="70" t="s">
        <v>3</v>
      </c>
      <c r="F1554" s="70" t="s">
        <v>5</v>
      </c>
      <c r="G1554" s="70" t="s">
        <v>6</v>
      </c>
      <c r="H1554" s="70" t="s">
        <v>7</v>
      </c>
      <c r="I1554" s="70" t="s">
        <v>8</v>
      </c>
    </row>
    <row r="1555" spans="1:9" ht="12.75">
      <c r="A1555" s="69" t="s">
        <v>272</v>
      </c>
      <c r="B1555" s="69" t="s">
        <v>105</v>
      </c>
      <c r="C1555" s="71">
        <f>(5/4)^1.84*E1555</f>
        <v>34.70721317094525</v>
      </c>
      <c r="D1555" s="70">
        <v>35.17</v>
      </c>
      <c r="E1555" s="70">
        <v>23.02</v>
      </c>
      <c r="F1555" s="72">
        <f>-((D1555-C1555)/D1555)</f>
        <v>-0.013158567786600786</v>
      </c>
      <c r="G1555" s="71">
        <f>C1555-D1555</f>
        <v>-0.46278682905474966</v>
      </c>
      <c r="H1555" s="70">
        <v>780</v>
      </c>
      <c r="I1555" s="70" t="s">
        <v>270</v>
      </c>
    </row>
    <row r="1556" spans="2:9" ht="12.75">
      <c r="B1556" s="69" t="s">
        <v>83</v>
      </c>
      <c r="C1556" s="71">
        <f>(5/4)^1.84*E1556</f>
        <v>45.29125472003455</v>
      </c>
      <c r="D1556" s="70">
        <v>44.59</v>
      </c>
      <c r="E1556" s="70">
        <v>30.04</v>
      </c>
      <c r="F1556" s="72">
        <f>-((D1556-C1556)/D1556)</f>
        <v>0.015726726172562187</v>
      </c>
      <c r="G1556" s="71">
        <f>C1556-D1556</f>
        <v>0.701254720034548</v>
      </c>
      <c r="H1556" s="70">
        <v>780</v>
      </c>
      <c r="I1556" s="70" t="s">
        <v>270</v>
      </c>
    </row>
    <row r="1557" spans="2:9" ht="12.75">
      <c r="B1557" s="69" t="s">
        <v>84</v>
      </c>
      <c r="C1557" s="71">
        <f>(5/4)^1.84*E1557</f>
        <v>29.324730502818642</v>
      </c>
      <c r="D1557" s="70">
        <v>29.27</v>
      </c>
      <c r="E1557" s="70">
        <v>19.45</v>
      </c>
      <c r="F1557" s="72">
        <f>-((D1557-C1557)/D1557)</f>
        <v>0.0018698497717336143</v>
      </c>
      <c r="G1557" s="71">
        <f>C1557-D1557</f>
        <v>0.05473050281864289</v>
      </c>
      <c r="H1557" s="70">
        <v>780</v>
      </c>
      <c r="I1557" s="70" t="s">
        <v>270</v>
      </c>
    </row>
    <row r="1558" spans="2:9" ht="12.75">
      <c r="B1558" s="69" t="s">
        <v>50</v>
      </c>
      <c r="C1558" s="71">
        <f>(5/4)^1.84*E1558</f>
        <v>36.01891062788367</v>
      </c>
      <c r="D1558" s="70">
        <v>35.98</v>
      </c>
      <c r="E1558" s="70">
        <v>23.89</v>
      </c>
      <c r="F1558" s="72">
        <f>-((D1558-C1558)/D1558)</f>
        <v>0.001081451580980364</v>
      </c>
      <c r="G1558" s="71">
        <f>C1558-D1558</f>
        <v>0.0389106278836735</v>
      </c>
      <c r="H1558" s="70">
        <v>780</v>
      </c>
      <c r="I1558" s="70" t="s">
        <v>270</v>
      </c>
    </row>
    <row r="1559" spans="2:9" ht="12.75">
      <c r="B1559" s="69"/>
      <c r="C1559" s="71"/>
      <c r="D1559" s="70"/>
      <c r="E1559" s="70" t="s">
        <v>14</v>
      </c>
      <c r="F1559" s="72">
        <f>AVERAGE(F1554:F1558)</f>
        <v>0.001379864934668845</v>
      </c>
      <c r="G1559" s="71">
        <f>AVERAGE(G1555:G1558)</f>
        <v>0.08302725542052869</v>
      </c>
      <c r="H1559" s="70"/>
      <c r="I1559" s="70"/>
    </row>
    <row r="1560" spans="1:9" ht="12.75">
      <c r="A1560" s="5"/>
      <c r="B1560" s="17"/>
      <c r="C1560" s="24"/>
      <c r="D1560" s="18"/>
      <c r="E1560" s="70"/>
      <c r="F1560" s="72"/>
      <c r="G1560" s="71"/>
      <c r="H1560" s="18"/>
      <c r="I1560" s="18"/>
    </row>
    <row r="1561" spans="1:9" ht="12.75">
      <c r="A1561" s="73" t="s">
        <v>0</v>
      </c>
      <c r="B1561" s="73" t="s">
        <v>1</v>
      </c>
      <c r="C1561" s="74" t="s">
        <v>219</v>
      </c>
      <c r="D1561" s="74" t="s">
        <v>73</v>
      </c>
      <c r="E1561" s="74" t="s">
        <v>3</v>
      </c>
      <c r="F1561" s="74" t="s">
        <v>5</v>
      </c>
      <c r="G1561" s="74" t="s">
        <v>6</v>
      </c>
      <c r="H1561" s="74" t="s">
        <v>7</v>
      </c>
      <c r="I1561" s="74" t="s">
        <v>8</v>
      </c>
    </row>
    <row r="1562" spans="1:9" ht="12.75">
      <c r="A1562" s="73" t="s">
        <v>272</v>
      </c>
      <c r="B1562" s="73" t="s">
        <v>105</v>
      </c>
      <c r="C1562" s="75">
        <f>(5/4)^2*E1562</f>
        <v>35.96875</v>
      </c>
      <c r="D1562" s="74">
        <v>35.17</v>
      </c>
      <c r="E1562" s="74">
        <v>23.02</v>
      </c>
      <c r="F1562" s="76">
        <f>-((D1562-C1562)/D1562)</f>
        <v>0.022711117429627475</v>
      </c>
      <c r="G1562" s="75">
        <f>C1562-D1562</f>
        <v>0.7987499999999983</v>
      </c>
      <c r="H1562" s="74">
        <v>780</v>
      </c>
      <c r="I1562" s="74" t="s">
        <v>270</v>
      </c>
    </row>
    <row r="1563" spans="1:9" ht="12.75">
      <c r="A1563" s="5"/>
      <c r="B1563" s="73" t="s">
        <v>83</v>
      </c>
      <c r="C1563" s="75">
        <f>(5/4)^2*E1563</f>
        <v>46.9375</v>
      </c>
      <c r="D1563" s="74">
        <v>44.59</v>
      </c>
      <c r="E1563" s="74">
        <v>30.04</v>
      </c>
      <c r="F1563" s="76">
        <f>-((D1563-C1563)/D1563)</f>
        <v>0.05264633325857808</v>
      </c>
      <c r="G1563" s="75">
        <f>C1563-D1563</f>
        <v>2.3474999999999966</v>
      </c>
      <c r="H1563" s="74">
        <v>780</v>
      </c>
      <c r="I1563" s="74" t="s">
        <v>270</v>
      </c>
    </row>
    <row r="1564" spans="1:9" ht="12.75">
      <c r="A1564" s="5"/>
      <c r="B1564" s="73" t="s">
        <v>84</v>
      </c>
      <c r="C1564" s="75">
        <f>(5/4)^2*E1564</f>
        <v>30.390625</v>
      </c>
      <c r="D1564" s="74">
        <v>29.27</v>
      </c>
      <c r="E1564" s="74">
        <v>19.45</v>
      </c>
      <c r="F1564" s="76">
        <f>-((D1564-C1564)/D1564)</f>
        <v>0.03828578749572943</v>
      </c>
      <c r="G1564" s="75">
        <f>C1564-D1564</f>
        <v>1.1206250000000004</v>
      </c>
      <c r="H1564" s="74">
        <v>780</v>
      </c>
      <c r="I1564" s="74" t="s">
        <v>270</v>
      </c>
    </row>
    <row r="1565" spans="1:9" ht="12.75">
      <c r="A1565" s="5"/>
      <c r="B1565" s="73" t="s">
        <v>50</v>
      </c>
      <c r="C1565" s="75">
        <f>(5/4)^2*E1565</f>
        <v>37.328125</v>
      </c>
      <c r="D1565" s="74">
        <v>35.98</v>
      </c>
      <c r="E1565" s="74">
        <v>23.89</v>
      </c>
      <c r="F1565" s="76">
        <f>-((D1565-C1565)/D1565)</f>
        <v>0.037468732629238555</v>
      </c>
      <c r="G1565" s="75">
        <f>C1565-D1565</f>
        <v>1.3481250000000031</v>
      </c>
      <c r="H1565" s="74">
        <v>780</v>
      </c>
      <c r="I1565" s="74" t="s">
        <v>270</v>
      </c>
    </row>
    <row r="1566" spans="1:9" ht="12.75">
      <c r="A1566" s="5"/>
      <c r="B1566" s="73"/>
      <c r="C1566" s="75"/>
      <c r="D1566" s="74"/>
      <c r="E1566" s="74" t="s">
        <v>14</v>
      </c>
      <c r="F1566" s="76">
        <f>AVERAGE(F1561:F1565)</f>
        <v>0.037777992703293385</v>
      </c>
      <c r="G1566" s="75">
        <f>AVERAGE(G1562:G1565)</f>
        <v>1.4037499999999996</v>
      </c>
      <c r="H1566" s="74"/>
      <c r="I1566" s="74"/>
    </row>
    <row r="1567" spans="2:9" ht="12.75">
      <c r="B1567" s="69"/>
      <c r="C1567" s="71"/>
      <c r="D1567" s="70"/>
      <c r="E1567" s="70"/>
      <c r="F1567" s="72"/>
      <c r="G1567" s="71"/>
      <c r="H1567" s="70"/>
      <c r="I1567" s="70"/>
    </row>
    <row r="1568" spans="1:9" ht="12.75">
      <c r="A1568" s="20" t="s">
        <v>0</v>
      </c>
      <c r="B1568" s="20" t="s">
        <v>1</v>
      </c>
      <c r="C1568" s="16" t="s">
        <v>268</v>
      </c>
      <c r="D1568" s="16" t="s">
        <v>73</v>
      </c>
      <c r="E1568" s="16" t="s">
        <v>3</v>
      </c>
      <c r="F1568" s="16" t="s">
        <v>5</v>
      </c>
      <c r="G1568" s="16" t="s">
        <v>6</v>
      </c>
      <c r="H1568" s="16" t="s">
        <v>7</v>
      </c>
      <c r="I1568" s="16" t="s">
        <v>8</v>
      </c>
    </row>
    <row r="1569" spans="1:9" ht="12.75">
      <c r="A1569" s="20" t="s">
        <v>274</v>
      </c>
      <c r="B1569" s="15" t="s">
        <v>275</v>
      </c>
      <c r="C1569" s="21">
        <f>(4/3)^1.85*E1569</f>
        <v>73.82882154204113</v>
      </c>
      <c r="D1569" s="16">
        <v>72</v>
      </c>
      <c r="E1569" s="16">
        <v>43.36</v>
      </c>
      <c r="F1569" s="22">
        <f>-((D1569-C1569)/D1569)</f>
        <v>0.025400299195015644</v>
      </c>
      <c r="G1569" s="21">
        <f>C1569-D1569</f>
        <v>1.8288215420411262</v>
      </c>
      <c r="H1569" s="16">
        <v>1470</v>
      </c>
      <c r="I1569" s="16" t="s">
        <v>276</v>
      </c>
    </row>
    <row r="1570" spans="2:9" ht="12.75">
      <c r="B1570" s="15" t="s">
        <v>51</v>
      </c>
      <c r="C1570" s="21">
        <f>(4/3)^1.85*E1570</f>
        <v>51.40433861518039</v>
      </c>
      <c r="D1570" s="16">
        <v>52.67</v>
      </c>
      <c r="E1570" s="16">
        <v>30.19</v>
      </c>
      <c r="F1570" s="22">
        <f>-((D1570-C1570)/D1570)</f>
        <v>-0.024030024393765118</v>
      </c>
      <c r="G1570" s="21">
        <f>C1570-D1570</f>
        <v>-1.2656613848196088</v>
      </c>
      <c r="H1570" s="16">
        <v>1470</v>
      </c>
      <c r="I1570" s="16" t="s">
        <v>276</v>
      </c>
    </row>
    <row r="1571" spans="2:9" ht="12.75">
      <c r="B1571" s="15"/>
      <c r="C1571" s="21"/>
      <c r="D1571" s="16"/>
      <c r="E1571" s="16" t="s">
        <v>14</v>
      </c>
      <c r="F1571" s="22">
        <f>AVERAGE(F1569:F1570)</f>
        <v>0.0006851374006252627</v>
      </c>
      <c r="G1571" s="21">
        <f>AVERAGE(G1569:G1570)</f>
        <v>0.28158007861075873</v>
      </c>
      <c r="H1571" s="16"/>
      <c r="I1571" s="16"/>
    </row>
    <row r="1572" spans="1:9" ht="12.75">
      <c r="A1572" s="5"/>
      <c r="B1572" s="17"/>
      <c r="C1572" s="24"/>
      <c r="D1572" s="18"/>
      <c r="E1572" s="18"/>
      <c r="F1572" s="25"/>
      <c r="G1572" s="24"/>
      <c r="H1572" s="18"/>
      <c r="I1572" s="18"/>
    </row>
    <row r="1573" spans="1:9" ht="12.75">
      <c r="A1573" s="23" t="s">
        <v>0</v>
      </c>
      <c r="B1573" s="23" t="s">
        <v>1</v>
      </c>
      <c r="C1573" s="18" t="s">
        <v>74</v>
      </c>
      <c r="D1573" s="18" t="s">
        <v>73</v>
      </c>
      <c r="E1573" s="18" t="s">
        <v>3</v>
      </c>
      <c r="F1573" s="18" t="s">
        <v>5</v>
      </c>
      <c r="G1573" s="18" t="s">
        <v>6</v>
      </c>
      <c r="H1573" s="18" t="s">
        <v>7</v>
      </c>
      <c r="I1573" s="18" t="s">
        <v>8</v>
      </c>
    </row>
    <row r="1574" spans="1:9" ht="12.75">
      <c r="A1574" s="23" t="s">
        <v>274</v>
      </c>
      <c r="B1574" s="17" t="s">
        <v>275</v>
      </c>
      <c r="C1574" s="24">
        <f>(4/3)^2*E1574</f>
        <v>77.08444444444444</v>
      </c>
      <c r="D1574" s="18">
        <v>72</v>
      </c>
      <c r="E1574" s="18">
        <v>43.36</v>
      </c>
      <c r="F1574" s="25">
        <f>-((D1574-C1574)/D1574)</f>
        <v>0.07061728395061727</v>
      </c>
      <c r="G1574" s="24">
        <f>C1574-D1574</f>
        <v>5.084444444444443</v>
      </c>
      <c r="H1574" s="18">
        <v>1470</v>
      </c>
      <c r="I1574" s="18" t="s">
        <v>276</v>
      </c>
    </row>
    <row r="1575" spans="1:9" ht="12.75">
      <c r="A1575" s="5"/>
      <c r="B1575" s="17" t="s">
        <v>51</v>
      </c>
      <c r="C1575" s="24">
        <f>(4/3)^2*E1575</f>
        <v>53.67111111111111</v>
      </c>
      <c r="D1575" s="18">
        <v>52.67</v>
      </c>
      <c r="E1575" s="18">
        <v>30.19</v>
      </c>
      <c r="F1575" s="25">
        <f>-((D1575-C1575)/D1575)</f>
        <v>0.019007235828955908</v>
      </c>
      <c r="G1575" s="24">
        <f>C1575-D1575</f>
        <v>1.0011111111111077</v>
      </c>
      <c r="H1575" s="18">
        <v>1470</v>
      </c>
      <c r="I1575" s="18" t="s">
        <v>276</v>
      </c>
    </row>
    <row r="1576" spans="1:9" ht="12.75">
      <c r="A1576" s="5"/>
      <c r="B1576" s="17"/>
      <c r="C1576" s="24"/>
      <c r="D1576" s="18"/>
      <c r="E1576" s="18" t="s">
        <v>14</v>
      </c>
      <c r="F1576" s="25">
        <f>AVERAGE(F1574:F1575)</f>
        <v>0.044812259889786585</v>
      </c>
      <c r="G1576" s="24">
        <f>AVERAGE(G1574:G1575)</f>
        <v>3.0427777777777756</v>
      </c>
      <c r="H1576" s="18"/>
      <c r="I1576" s="18"/>
    </row>
    <row r="1577" spans="2:9" ht="12.75">
      <c r="B1577" s="69"/>
      <c r="C1577" s="71"/>
      <c r="D1577" s="70"/>
      <c r="E1577" s="70"/>
      <c r="F1577" s="72"/>
      <c r="G1577" s="71"/>
      <c r="H1577" s="70"/>
      <c r="I1577" s="70"/>
    </row>
    <row r="1578" spans="1:9" ht="12.75">
      <c r="A1578" s="20" t="s">
        <v>0</v>
      </c>
      <c r="B1578" s="20" t="s">
        <v>1</v>
      </c>
      <c r="C1578" s="16" t="s">
        <v>228</v>
      </c>
      <c r="D1578" s="16" t="s">
        <v>73</v>
      </c>
      <c r="E1578" s="16" t="s">
        <v>3</v>
      </c>
      <c r="F1578" s="16" t="s">
        <v>5</v>
      </c>
      <c r="G1578" s="16" t="s">
        <v>6</v>
      </c>
      <c r="H1578" s="16" t="s">
        <v>7</v>
      </c>
      <c r="I1578" s="16" t="s">
        <v>8</v>
      </c>
    </row>
    <row r="1579" spans="1:9" ht="12.75">
      <c r="A1579" s="20" t="s">
        <v>277</v>
      </c>
      <c r="B1579" s="20" t="s">
        <v>103</v>
      </c>
      <c r="C1579" s="21">
        <f>(4/3)^1.78*E1579</f>
        <v>59.27395529543254</v>
      </c>
      <c r="D1579" s="16">
        <v>58.11</v>
      </c>
      <c r="E1579" s="16">
        <v>35.52</v>
      </c>
      <c r="F1579" s="22">
        <f>-((D1579-C1579)/D1579)</f>
        <v>0.020030206426304317</v>
      </c>
      <c r="G1579" s="21">
        <f>C1579-D1579</f>
        <v>1.1639552954325438</v>
      </c>
      <c r="H1579" s="16">
        <v>1130</v>
      </c>
      <c r="I1579" s="16" t="s">
        <v>276</v>
      </c>
    </row>
    <row r="1580" spans="2:9" ht="12.75">
      <c r="B1580" s="15" t="s">
        <v>104</v>
      </c>
      <c r="C1580" s="21">
        <f>(4/3)^1.78*E1580</f>
        <v>50.91352410089096</v>
      </c>
      <c r="D1580" s="16">
        <v>50.14</v>
      </c>
      <c r="E1580" s="16">
        <v>30.51</v>
      </c>
      <c r="F1580" s="22">
        <f>-((D1580-C1580)/D1580)</f>
        <v>0.015427285618088546</v>
      </c>
      <c r="G1580" s="21">
        <f>C1580-D1580</f>
        <v>0.7735241008909597</v>
      </c>
      <c r="H1580" s="16">
        <v>1130</v>
      </c>
      <c r="I1580" s="16" t="s">
        <v>276</v>
      </c>
    </row>
    <row r="1581" spans="2:9" ht="12.75">
      <c r="B1581" s="15" t="s">
        <v>105</v>
      </c>
      <c r="C1581" s="21">
        <f>(4/3)^1.78*E1581</f>
        <v>47.976526315982134</v>
      </c>
      <c r="D1581" s="16">
        <v>48.48</v>
      </c>
      <c r="E1581" s="16">
        <v>28.75</v>
      </c>
      <c r="F1581" s="22">
        <f>-((D1581-C1581)/D1581)</f>
        <v>-0.010385183251193532</v>
      </c>
      <c r="G1581" s="21">
        <f>C1581-D1581</f>
        <v>-0.5034736840178624</v>
      </c>
      <c r="H1581" s="16">
        <v>1130</v>
      </c>
      <c r="I1581" s="16" t="s">
        <v>276</v>
      </c>
    </row>
    <row r="1582" spans="2:9" ht="12.75">
      <c r="B1582" s="15" t="s">
        <v>83</v>
      </c>
      <c r="C1582" s="21">
        <f>(4/3)^1.78*E1582</f>
        <v>59.37408021991806</v>
      </c>
      <c r="D1582" s="16">
        <v>58.87</v>
      </c>
      <c r="E1582" s="16">
        <v>35.58</v>
      </c>
      <c r="F1582" s="22">
        <f>-((D1582-C1582)/D1582)</f>
        <v>0.008562599285171838</v>
      </c>
      <c r="G1582" s="21">
        <f>C1582-D1582</f>
        <v>0.5040802199180661</v>
      </c>
      <c r="H1582" s="16">
        <v>1130</v>
      </c>
      <c r="I1582" s="16" t="s">
        <v>276</v>
      </c>
    </row>
    <row r="1583" spans="2:9" ht="12.75">
      <c r="B1583" s="15" t="s">
        <v>84</v>
      </c>
      <c r="C1583" s="21">
        <f>(4/3)^1.78*E1583</f>
        <v>38.8985331626276</v>
      </c>
      <c r="D1583" s="16">
        <v>39.57</v>
      </c>
      <c r="E1583" s="16">
        <v>23.31</v>
      </c>
      <c r="F1583" s="22">
        <f>-((D1583-C1583)/D1583)</f>
        <v>-0.016969088637159454</v>
      </c>
      <c r="G1583" s="21">
        <f>C1583-D1583</f>
        <v>-0.6714668373723995</v>
      </c>
      <c r="H1583" s="16">
        <v>1130</v>
      </c>
      <c r="I1583" s="16" t="s">
        <v>276</v>
      </c>
    </row>
    <row r="1584" spans="2:9" ht="12.75">
      <c r="B1584" s="15" t="s">
        <v>50</v>
      </c>
      <c r="C1584" s="21">
        <f>(4/3)^1.78*E1584</f>
        <v>48.143401190124685</v>
      </c>
      <c r="D1584" s="16">
        <v>48.71</v>
      </c>
      <c r="E1584" s="16">
        <v>28.85</v>
      </c>
      <c r="F1584" s="22">
        <f>-((D1584-C1584)/D1584)</f>
        <v>-0.01163208396377163</v>
      </c>
      <c r="G1584" s="21">
        <f>C1584-D1584</f>
        <v>-0.5665988098753161</v>
      </c>
      <c r="H1584" s="16">
        <v>1130</v>
      </c>
      <c r="I1584" s="16" t="s">
        <v>276</v>
      </c>
    </row>
    <row r="1585" spans="2:9" ht="12.75">
      <c r="B1585" s="15"/>
      <c r="C1585" s="21"/>
      <c r="D1585" s="16"/>
      <c r="E1585" s="16" t="s">
        <v>14</v>
      </c>
      <c r="F1585" s="22">
        <f>AVERAGE(F1579:F1584)</f>
        <v>0.0008389559129066809</v>
      </c>
      <c r="G1585" s="21">
        <f>AVERAGE(G1579:G1584)</f>
        <v>0.11667004749599859</v>
      </c>
      <c r="H1585" s="16"/>
      <c r="I1585" s="16"/>
    </row>
    <row r="1586" spans="2:9" ht="12.75">
      <c r="B1586" s="15"/>
      <c r="C1586" s="21"/>
      <c r="D1586" s="16"/>
      <c r="E1586" s="16"/>
      <c r="F1586" s="22"/>
      <c r="G1586" s="21"/>
      <c r="H1586" s="16"/>
      <c r="I1586" s="16"/>
    </row>
    <row r="1587" spans="1:9" ht="12.75">
      <c r="A1587" s="23" t="s">
        <v>0</v>
      </c>
      <c r="B1587" s="23" t="s">
        <v>1</v>
      </c>
      <c r="C1587" s="18" t="s">
        <v>74</v>
      </c>
      <c r="D1587" s="18" t="s">
        <v>73</v>
      </c>
      <c r="E1587" s="18" t="s">
        <v>3</v>
      </c>
      <c r="F1587" s="18" t="s">
        <v>5</v>
      </c>
      <c r="G1587" s="18" t="s">
        <v>6</v>
      </c>
      <c r="H1587" s="18" t="s">
        <v>7</v>
      </c>
      <c r="I1587" s="18" t="s">
        <v>8</v>
      </c>
    </row>
    <row r="1588" spans="1:9" ht="12.75">
      <c r="A1588" s="23" t="s">
        <v>277</v>
      </c>
      <c r="B1588" s="23" t="s">
        <v>103</v>
      </c>
      <c r="C1588" s="24">
        <f>(4/3)^2*E1588</f>
        <v>63.14666666666667</v>
      </c>
      <c r="D1588" s="18">
        <v>58.11</v>
      </c>
      <c r="E1588" s="18">
        <v>35.52</v>
      </c>
      <c r="F1588" s="25">
        <f>-((D1588-C1588)/D1588)</f>
        <v>0.08667469741295249</v>
      </c>
      <c r="G1588" s="24">
        <f>C1588-D1588</f>
        <v>5.036666666666669</v>
      </c>
      <c r="H1588" s="18">
        <v>1130</v>
      </c>
      <c r="I1588" s="18" t="s">
        <v>276</v>
      </c>
    </row>
    <row r="1589" spans="1:9" ht="12.75">
      <c r="A1589" s="5"/>
      <c r="B1589" s="17" t="s">
        <v>104</v>
      </c>
      <c r="C1589" s="24">
        <f>(4/3)^2*E1589</f>
        <v>54.24</v>
      </c>
      <c r="D1589" s="18">
        <v>50.14</v>
      </c>
      <c r="E1589" s="18">
        <v>30.51</v>
      </c>
      <c r="F1589" s="25">
        <f>-((D1589-C1589)/D1589)</f>
        <v>0.08177104108496214</v>
      </c>
      <c r="G1589" s="24">
        <f>C1589-D1589</f>
        <v>4.100000000000001</v>
      </c>
      <c r="H1589" s="18">
        <v>1130</v>
      </c>
      <c r="I1589" s="18" t="s">
        <v>276</v>
      </c>
    </row>
    <row r="1590" spans="1:9" ht="12.75">
      <c r="A1590" s="5"/>
      <c r="B1590" s="17" t="s">
        <v>105</v>
      </c>
      <c r="C1590" s="24">
        <f>(4/3)^2*E1590</f>
        <v>51.11111111111111</v>
      </c>
      <c r="D1590" s="18">
        <v>48.48</v>
      </c>
      <c r="E1590" s="18">
        <v>28.75</v>
      </c>
      <c r="F1590" s="25">
        <f>-((D1590-C1590)/D1590)</f>
        <v>0.05427209387605426</v>
      </c>
      <c r="G1590" s="24">
        <f>C1590-D1590</f>
        <v>2.6311111111111103</v>
      </c>
      <c r="H1590" s="18">
        <v>1130</v>
      </c>
      <c r="I1590" s="18" t="s">
        <v>276</v>
      </c>
    </row>
    <row r="1591" spans="1:9" ht="12.75">
      <c r="A1591" s="5"/>
      <c r="B1591" s="17" t="s">
        <v>83</v>
      </c>
      <c r="C1591" s="24">
        <f>(4/3)^2*E1591</f>
        <v>63.25333333333333</v>
      </c>
      <c r="D1591" s="18">
        <v>58.87</v>
      </c>
      <c r="E1591" s="18">
        <v>35.58</v>
      </c>
      <c r="F1591" s="25">
        <f>-((D1591-C1591)/D1591)</f>
        <v>0.07445784496914104</v>
      </c>
      <c r="G1591" s="24">
        <f>C1591-D1591</f>
        <v>4.383333333333333</v>
      </c>
      <c r="H1591" s="18">
        <v>1130</v>
      </c>
      <c r="I1591" s="18" t="s">
        <v>276</v>
      </c>
    </row>
    <row r="1592" spans="1:9" ht="12.75">
      <c r="A1592" s="5"/>
      <c r="B1592" s="17" t="s">
        <v>84</v>
      </c>
      <c r="C1592" s="24">
        <f>(4/3)^2*E1592</f>
        <v>41.44</v>
      </c>
      <c r="D1592" s="18">
        <v>39.57</v>
      </c>
      <c r="E1592" s="18">
        <v>23.31</v>
      </c>
      <c r="F1592" s="25">
        <f>-((D1592-C1592)/D1592)</f>
        <v>0.047258023755370165</v>
      </c>
      <c r="G1592" s="24">
        <f>C1592-D1592</f>
        <v>1.8699999999999974</v>
      </c>
      <c r="H1592" s="18">
        <v>1130</v>
      </c>
      <c r="I1592" s="18" t="s">
        <v>276</v>
      </c>
    </row>
    <row r="1593" spans="1:9" ht="12.75">
      <c r="A1593" s="5"/>
      <c r="B1593" s="17" t="s">
        <v>50</v>
      </c>
      <c r="C1593" s="24">
        <f>(4/3)^2*E1593</f>
        <v>51.28888888888889</v>
      </c>
      <c r="D1593" s="18">
        <v>48.71</v>
      </c>
      <c r="E1593" s="18">
        <v>28.85</v>
      </c>
      <c r="F1593" s="25">
        <f>-((D1593-C1593)/D1593)</f>
        <v>0.052943725906156654</v>
      </c>
      <c r="G1593" s="24">
        <f>C1593-D1593</f>
        <v>2.5788888888888906</v>
      </c>
      <c r="H1593" s="18">
        <v>1130</v>
      </c>
      <c r="I1593" s="18" t="s">
        <v>276</v>
      </c>
    </row>
    <row r="1594" spans="1:9" ht="12.75">
      <c r="A1594" s="5"/>
      <c r="B1594" s="17"/>
      <c r="C1594" s="24"/>
      <c r="D1594" s="18"/>
      <c r="E1594" s="18" t="s">
        <v>14</v>
      </c>
      <c r="F1594" s="25">
        <f>AVERAGE(F1588:F1593)</f>
        <v>0.06622957116743945</v>
      </c>
      <c r="G1594" s="24">
        <f>AVERAGE(G1588:G1593)</f>
        <v>3.4333333333333336</v>
      </c>
      <c r="H1594" s="18"/>
      <c r="I1594" s="18"/>
    </row>
    <row r="1595" spans="2:8" ht="12.75">
      <c r="B1595" s="15"/>
      <c r="C1595" s="15"/>
      <c r="D1595" s="16"/>
      <c r="E1595" s="16"/>
      <c r="F1595" s="16"/>
      <c r="G1595" s="16"/>
      <c r="H1595" s="16"/>
    </row>
    <row r="1596" spans="1:9" ht="12.75">
      <c r="A1596" s="69" t="s">
        <v>0</v>
      </c>
      <c r="B1596" s="69" t="s">
        <v>1</v>
      </c>
      <c r="C1596" s="70" t="s">
        <v>278</v>
      </c>
      <c r="D1596" s="70" t="s">
        <v>218</v>
      </c>
      <c r="E1596" s="70" t="s">
        <v>73</v>
      </c>
      <c r="F1596" s="70" t="s">
        <v>5</v>
      </c>
      <c r="G1596" s="70" t="s">
        <v>6</v>
      </c>
      <c r="H1596" s="70" t="s">
        <v>7</v>
      </c>
      <c r="I1596" s="70" t="s">
        <v>8</v>
      </c>
    </row>
    <row r="1597" spans="1:9" ht="12.75">
      <c r="A1597" s="69" t="s">
        <v>277</v>
      </c>
      <c r="B1597" s="69" t="s">
        <v>71</v>
      </c>
      <c r="C1597" s="71">
        <f>(5/4)^1.9*E1597</f>
        <v>52.8542100998436</v>
      </c>
      <c r="D1597" s="70">
        <v>51.6</v>
      </c>
      <c r="E1597" s="70">
        <v>34.59</v>
      </c>
      <c r="F1597" s="72">
        <f>-((D1597-C1597)/D1597)</f>
        <v>0.024306397283790637</v>
      </c>
      <c r="G1597" s="71">
        <f>C1597-D1597</f>
        <v>1.254210099843597</v>
      </c>
      <c r="H1597" s="70">
        <v>1130</v>
      </c>
      <c r="I1597" s="70" t="s">
        <v>276</v>
      </c>
    </row>
    <row r="1598" spans="2:9" ht="12.75">
      <c r="B1598" s="69" t="s">
        <v>52</v>
      </c>
      <c r="C1598" s="71">
        <f>(5/4)^1.9*E1598</f>
        <v>58.416202720931494</v>
      </c>
      <c r="D1598" s="70">
        <v>59.05</v>
      </c>
      <c r="E1598" s="70">
        <v>38.23</v>
      </c>
      <c r="F1598" s="72">
        <f>-((D1598-C1598)/D1598)</f>
        <v>-0.010733230805563132</v>
      </c>
      <c r="G1598" s="71">
        <f>C1598-D1598</f>
        <v>-0.6337972790685029</v>
      </c>
      <c r="H1598" s="70">
        <v>1130</v>
      </c>
      <c r="I1598" s="70" t="s">
        <v>276</v>
      </c>
    </row>
    <row r="1599" spans="2:9" ht="12.75">
      <c r="B1599" s="69" t="s">
        <v>51</v>
      </c>
      <c r="C1599" s="71">
        <f>(5/4)^1.9*E1599</f>
        <v>36.61135802232589</v>
      </c>
      <c r="D1599" s="70">
        <v>37.02</v>
      </c>
      <c r="E1599" s="70">
        <v>23.96</v>
      </c>
      <c r="F1599" s="72">
        <f>-((D1599-C1599)/D1599)</f>
        <v>-0.011038411066291606</v>
      </c>
      <c r="G1599" s="71">
        <f>C1599-D1599</f>
        <v>-0.40864197767411525</v>
      </c>
      <c r="H1599" s="70">
        <v>1130</v>
      </c>
      <c r="I1599" s="70" t="s">
        <v>276</v>
      </c>
    </row>
    <row r="1600" spans="2:9" ht="12.75">
      <c r="B1600" s="69"/>
      <c r="C1600" s="71"/>
      <c r="D1600" s="70"/>
      <c r="E1600" s="70" t="s">
        <v>14</v>
      </c>
      <c r="F1600" s="72">
        <f>AVERAGE(F1597:F1599)</f>
        <v>0.0008449184706453006</v>
      </c>
      <c r="G1600" s="71">
        <f>AVERAGE(G1597:G1599)</f>
        <v>0.07059028103365961</v>
      </c>
      <c r="H1600" s="70"/>
      <c r="I1600" s="70"/>
    </row>
    <row r="1601" spans="2:9" ht="12.75">
      <c r="B1601" s="69"/>
      <c r="C1601" s="71"/>
      <c r="D1601" s="70"/>
      <c r="E1601" s="70"/>
      <c r="F1601" s="72"/>
      <c r="G1601" s="71"/>
      <c r="H1601" s="70"/>
      <c r="I1601" s="70"/>
    </row>
    <row r="1602" spans="1:9" ht="12.75">
      <c r="A1602" s="73" t="s">
        <v>0</v>
      </c>
      <c r="B1602" s="73" t="s">
        <v>1</v>
      </c>
      <c r="C1602" s="74" t="s">
        <v>219</v>
      </c>
      <c r="D1602" s="74" t="s">
        <v>218</v>
      </c>
      <c r="E1602" s="74" t="s">
        <v>73</v>
      </c>
      <c r="F1602" s="74" t="s">
        <v>5</v>
      </c>
      <c r="G1602" s="74" t="s">
        <v>6</v>
      </c>
      <c r="H1602" s="74" t="s">
        <v>7</v>
      </c>
      <c r="I1602" s="74" t="s">
        <v>8</v>
      </c>
    </row>
    <row r="1603" spans="1:9" ht="12.75">
      <c r="A1603" s="73" t="s">
        <v>277</v>
      </c>
      <c r="B1603" s="73" t="s">
        <v>71</v>
      </c>
      <c r="C1603" s="75">
        <f>(5/4)^2*E1603</f>
        <v>54.04687500000001</v>
      </c>
      <c r="D1603" s="74">
        <v>51.6</v>
      </c>
      <c r="E1603" s="74">
        <v>34.59</v>
      </c>
      <c r="F1603" s="76">
        <f>-((D1603-C1603)/D1603)</f>
        <v>0.047420058139534996</v>
      </c>
      <c r="G1603" s="75">
        <f>C1603-D1603</f>
        <v>2.4468750000000057</v>
      </c>
      <c r="H1603" s="74">
        <v>1130</v>
      </c>
      <c r="I1603" s="74" t="s">
        <v>276</v>
      </c>
    </row>
    <row r="1604" spans="1:9" ht="12.75">
      <c r="A1604" s="5"/>
      <c r="B1604" s="73" t="s">
        <v>52</v>
      </c>
      <c r="C1604" s="75">
        <f>(5/4)^2*E1604</f>
        <v>59.73437499999999</v>
      </c>
      <c r="D1604" s="74">
        <v>59.05</v>
      </c>
      <c r="E1604" s="74">
        <v>38.23</v>
      </c>
      <c r="F1604" s="76">
        <f>-((D1604-C1604)/D1604)</f>
        <v>0.011589754445385195</v>
      </c>
      <c r="G1604" s="75">
        <f>C1604-D1604</f>
        <v>0.6843749999999957</v>
      </c>
      <c r="H1604" s="74">
        <v>1130</v>
      </c>
      <c r="I1604" s="74" t="s">
        <v>276</v>
      </c>
    </row>
    <row r="1605" spans="1:9" ht="12.75">
      <c r="A1605" s="5"/>
      <c r="B1605" s="73" t="s">
        <v>51</v>
      </c>
      <c r="C1605" s="75">
        <f>(5/4)^2*E1605</f>
        <v>37.4375</v>
      </c>
      <c r="D1605" s="74">
        <v>37.02</v>
      </c>
      <c r="E1605" s="74">
        <v>23.96</v>
      </c>
      <c r="F1605" s="76">
        <f>-((D1605-C1605)/D1605)</f>
        <v>0.011277687736358639</v>
      </c>
      <c r="G1605" s="75">
        <f>C1605-D1605</f>
        <v>0.4174999999999969</v>
      </c>
      <c r="H1605" s="74">
        <v>1130</v>
      </c>
      <c r="I1605" s="74" t="s">
        <v>276</v>
      </c>
    </row>
    <row r="1606" spans="1:9" ht="12.75">
      <c r="A1606" s="5"/>
      <c r="B1606" s="73"/>
      <c r="C1606" s="75"/>
      <c r="D1606" s="74"/>
      <c r="E1606" s="74" t="s">
        <v>14</v>
      </c>
      <c r="F1606" s="76">
        <f>AVERAGE(F1603:F1605)</f>
        <v>0.02342916677375961</v>
      </c>
      <c r="G1606" s="75">
        <f>AVERAGE(G1603:G1605)</f>
        <v>1.1829166666666662</v>
      </c>
      <c r="H1606" s="74"/>
      <c r="I1606" s="74"/>
    </row>
    <row r="1607" spans="1:9" ht="12.75">
      <c r="A1607" s="5"/>
      <c r="B1607" s="73"/>
      <c r="C1607" s="75"/>
      <c r="D1607" s="74"/>
      <c r="E1607" s="74"/>
      <c r="F1607" s="76"/>
      <c r="G1607" s="75"/>
      <c r="H1607" s="74"/>
      <c r="I1607" s="74"/>
    </row>
    <row r="1608" spans="1:9" ht="12.75">
      <c r="A1608" s="20" t="s">
        <v>0</v>
      </c>
      <c r="B1608" s="20" t="s">
        <v>1</v>
      </c>
      <c r="C1608" s="16" t="s">
        <v>171</v>
      </c>
      <c r="D1608" s="16" t="s">
        <v>73</v>
      </c>
      <c r="E1608" s="16" t="s">
        <v>3</v>
      </c>
      <c r="F1608" s="16" t="s">
        <v>5</v>
      </c>
      <c r="G1608" s="16" t="s">
        <v>6</v>
      </c>
      <c r="H1608" s="16" t="s">
        <v>7</v>
      </c>
      <c r="I1608" s="16" t="s">
        <v>8</v>
      </c>
    </row>
    <row r="1609" spans="1:9" ht="12.75">
      <c r="A1609" s="20" t="s">
        <v>279</v>
      </c>
      <c r="B1609" s="20" t="s">
        <v>91</v>
      </c>
      <c r="C1609" s="21">
        <f>(4/3)^1.66*E1609</f>
        <v>53.03886241896071</v>
      </c>
      <c r="D1609" s="16">
        <v>50.48</v>
      </c>
      <c r="E1609" s="16">
        <v>32.9</v>
      </c>
      <c r="F1609" s="22">
        <f>-((D1609-C1609)/D1609)</f>
        <v>0.05069061844216947</v>
      </c>
      <c r="G1609" s="21">
        <f>C1609-D1609</f>
        <v>2.5588624189607145</v>
      </c>
      <c r="H1609" s="16">
        <v>930</v>
      </c>
      <c r="I1609" s="16" t="s">
        <v>276</v>
      </c>
    </row>
    <row r="1610" spans="2:9" ht="12.75">
      <c r="B1610" s="20" t="s">
        <v>92</v>
      </c>
      <c r="C1610" s="21">
        <f>(4/3)^1.66*E1610</f>
        <v>44.542971691060316</v>
      </c>
      <c r="D1610" s="16">
        <v>43.03</v>
      </c>
      <c r="E1610" s="16">
        <v>27.63</v>
      </c>
      <c r="F1610" s="22">
        <f>-((D1610-C1610)/D1610)</f>
        <v>0.03516085733349558</v>
      </c>
      <c r="G1610" s="21">
        <f>C1610-D1610</f>
        <v>1.512971691060315</v>
      </c>
      <c r="H1610" s="16">
        <v>930</v>
      </c>
      <c r="I1610" s="16" t="s">
        <v>276</v>
      </c>
    </row>
    <row r="1611" spans="2:9" ht="12.75">
      <c r="B1611" s="20" t="s">
        <v>93</v>
      </c>
      <c r="C1611" s="21">
        <f>(4/3)^1.66*E1611</f>
        <v>31.033376947264248</v>
      </c>
      <c r="D1611" s="16">
        <v>30.69</v>
      </c>
      <c r="E1611" s="16">
        <v>19.25</v>
      </c>
      <c r="F1611" s="22">
        <f>-((D1611-C1611)/D1611)</f>
        <v>0.011188561331516673</v>
      </c>
      <c r="G1611" s="21">
        <f>C1611-D1611</f>
        <v>0.3433769472642467</v>
      </c>
      <c r="H1611" s="16">
        <v>930</v>
      </c>
      <c r="I1611" s="16" t="s">
        <v>276</v>
      </c>
    </row>
    <row r="1612" spans="2:9" ht="12.75">
      <c r="B1612" s="20" t="s">
        <v>44</v>
      </c>
      <c r="C1612" s="21">
        <f>(4/3)^1.66*E1612</f>
        <v>34.51556365926896</v>
      </c>
      <c r="D1612" s="16">
        <v>33.28</v>
      </c>
      <c r="E1612" s="16">
        <v>21.41</v>
      </c>
      <c r="F1612" s="22">
        <f>-((D1612-C1612)/D1612)</f>
        <v>0.037126311877072174</v>
      </c>
      <c r="G1612" s="21">
        <f>C1612-D1612</f>
        <v>1.235563659268962</v>
      </c>
      <c r="H1612" s="16">
        <v>930</v>
      </c>
      <c r="I1612" s="16" t="s">
        <v>276</v>
      </c>
    </row>
    <row r="1613" spans="2:9" ht="12.75">
      <c r="B1613" s="20" t="s">
        <v>96</v>
      </c>
      <c r="C1613" s="21">
        <f>(4/3)^1.66*E1613</f>
        <v>36.75641529338311</v>
      </c>
      <c r="D1613" s="16">
        <v>35.93</v>
      </c>
      <c r="E1613" s="16">
        <v>22.8</v>
      </c>
      <c r="F1613" s="22">
        <f>-((D1613-C1613)/D1613)</f>
        <v>0.023000703962791736</v>
      </c>
      <c r="G1613" s="21">
        <f>C1613-D1613</f>
        <v>0.826415293383107</v>
      </c>
      <c r="H1613" s="16">
        <v>930</v>
      </c>
      <c r="I1613" s="16" t="s">
        <v>276</v>
      </c>
    </row>
    <row r="1614" spans="2:9" ht="12.75">
      <c r="B1614" s="20" t="s">
        <v>148</v>
      </c>
      <c r="C1614" s="21">
        <f>(4/3)^1.66*E1614</f>
        <v>46.21958010795148</v>
      </c>
      <c r="D1614" s="16">
        <v>46.95</v>
      </c>
      <c r="E1614" s="16">
        <v>28.67</v>
      </c>
      <c r="F1614" s="22">
        <f>-((D1614-C1614)/D1614)</f>
        <v>-0.01555739919166184</v>
      </c>
      <c r="G1614" s="21">
        <f>C1614-D1614</f>
        <v>-0.7304198920485234</v>
      </c>
      <c r="H1614" s="16">
        <v>930</v>
      </c>
      <c r="I1614" s="16" t="s">
        <v>276</v>
      </c>
    </row>
    <row r="1615" spans="2:9" ht="12.75">
      <c r="B1615" s="20" t="s">
        <v>244</v>
      </c>
      <c r="C1615" s="21">
        <f>(4/3)^1.66*E1615</f>
        <v>45.94551911672889</v>
      </c>
      <c r="D1615" s="16">
        <v>46.26</v>
      </c>
      <c r="E1615" s="16">
        <v>28.5</v>
      </c>
      <c r="F1615" s="22">
        <f>-((D1615-C1615)/D1615)</f>
        <v>-0.006798116802228907</v>
      </c>
      <c r="G1615" s="21">
        <f>C1615-D1615</f>
        <v>-0.31448088327110924</v>
      </c>
      <c r="H1615" s="16">
        <v>930</v>
      </c>
      <c r="I1615" s="16" t="s">
        <v>276</v>
      </c>
    </row>
    <row r="1616" spans="2:9" ht="12.75">
      <c r="B1616" s="20" t="s">
        <v>97</v>
      </c>
      <c r="C1616" s="21">
        <f>(4/3)^1.66*E1616</f>
        <v>42.30212005694617</v>
      </c>
      <c r="D1616" s="16">
        <v>42.91</v>
      </c>
      <c r="E1616" s="16">
        <v>26.24</v>
      </c>
      <c r="F1616" s="22">
        <f>-((D1616-C1616)/D1616)</f>
        <v>-0.014166393452664275</v>
      </c>
      <c r="G1616" s="21">
        <f>C1616-D1616</f>
        <v>-0.607879943053824</v>
      </c>
      <c r="H1616" s="16">
        <v>930</v>
      </c>
      <c r="I1616" s="16" t="s">
        <v>276</v>
      </c>
    </row>
    <row r="1617" spans="2:9" ht="12.75">
      <c r="B1617" s="20" t="s">
        <v>98</v>
      </c>
      <c r="C1617" s="21">
        <f>(4/3)^1.66*E1617</f>
        <v>35.563443919825936</v>
      </c>
      <c r="D1617" s="16">
        <v>36.66</v>
      </c>
      <c r="E1617" s="16">
        <v>22.06</v>
      </c>
      <c r="F1617" s="22">
        <f>-((D1617-C1617)/D1617)</f>
        <v>-0.029911513370814536</v>
      </c>
      <c r="G1617" s="21">
        <f>C1617-D1617</f>
        <v>-1.0965560801740608</v>
      </c>
      <c r="H1617" s="16">
        <v>930</v>
      </c>
      <c r="I1617" s="16" t="s">
        <v>276</v>
      </c>
    </row>
    <row r="1618" spans="2:9" ht="12.75">
      <c r="B1618" s="20" t="s">
        <v>103</v>
      </c>
      <c r="C1618" s="21">
        <f>(4/3)^1.66*E1618</f>
        <v>32.45204560771061</v>
      </c>
      <c r="D1618" s="16">
        <v>33.18</v>
      </c>
      <c r="E1618" s="16">
        <v>20.13</v>
      </c>
      <c r="F1618" s="22">
        <f>-((D1618-C1618)/D1618)</f>
        <v>-0.021939553715774284</v>
      </c>
      <c r="G1618" s="21">
        <f>C1618-D1618</f>
        <v>-0.7279543922893907</v>
      </c>
      <c r="H1618" s="16">
        <v>930</v>
      </c>
      <c r="I1618" s="16" t="s">
        <v>276</v>
      </c>
    </row>
    <row r="1619" spans="2:9" ht="12.75">
      <c r="B1619" s="20" t="s">
        <v>107</v>
      </c>
      <c r="C1619" s="21">
        <f>(4/3)^1.66*E1619</f>
        <v>37.981629136495876</v>
      </c>
      <c r="D1619" s="16">
        <v>37.42</v>
      </c>
      <c r="E1619" s="16">
        <v>23.56</v>
      </c>
      <c r="F1619" s="22">
        <f>-((D1619-C1619)/D1619)</f>
        <v>0.01500879573746323</v>
      </c>
      <c r="G1619" s="21">
        <f>C1619-D1619</f>
        <v>0.5616291364958741</v>
      </c>
      <c r="H1619" s="16">
        <v>930</v>
      </c>
      <c r="I1619" s="16" t="s">
        <v>276</v>
      </c>
    </row>
    <row r="1620" spans="2:9" ht="12.75">
      <c r="B1620" s="20" t="s">
        <v>83</v>
      </c>
      <c r="C1620" s="21">
        <f>(4/3)^1.66*E1620</f>
        <v>31.549256460153835</v>
      </c>
      <c r="D1620" s="16">
        <v>33.32</v>
      </c>
      <c r="E1620" s="16">
        <v>19.57</v>
      </c>
      <c r="F1620" s="22">
        <f>-((D1620-C1620)/D1620)</f>
        <v>-0.0531435636208333</v>
      </c>
      <c r="G1620" s="21">
        <f>C1620-D1620</f>
        <v>-1.7707435398461655</v>
      </c>
      <c r="H1620" s="16">
        <v>930</v>
      </c>
      <c r="I1620" s="16" t="s">
        <v>276</v>
      </c>
    </row>
    <row r="1621" spans="2:9" ht="12.75">
      <c r="B1621" s="20"/>
      <c r="C1621" s="21"/>
      <c r="D1621" s="16"/>
      <c r="E1621" s="16" t="s">
        <v>14</v>
      </c>
      <c r="F1621" s="22">
        <f>AVERAGE(F1609:F1620)</f>
        <v>0.0025549423775443106</v>
      </c>
      <c r="G1621" s="21">
        <f>AVERAGE(G1609:G1620)</f>
        <v>0.14923203464584547</v>
      </c>
      <c r="H1621" s="16"/>
      <c r="I1621" s="16"/>
    </row>
    <row r="1622" spans="2:9" ht="12.75">
      <c r="B1622" s="20"/>
      <c r="C1622" s="21"/>
      <c r="D1622" s="16"/>
      <c r="E1622" s="16"/>
      <c r="F1622" s="22"/>
      <c r="G1622" s="21"/>
      <c r="H1622" s="16"/>
      <c r="I1622" s="16"/>
    </row>
    <row r="1623" spans="1:9" ht="12.75">
      <c r="A1623" s="23" t="s">
        <v>0</v>
      </c>
      <c r="B1623" s="23" t="s">
        <v>1</v>
      </c>
      <c r="C1623" s="18" t="s">
        <v>74</v>
      </c>
      <c r="D1623" s="18" t="s">
        <v>73</v>
      </c>
      <c r="E1623" s="18" t="s">
        <v>3</v>
      </c>
      <c r="F1623" s="18" t="s">
        <v>5</v>
      </c>
      <c r="G1623" s="18" t="s">
        <v>6</v>
      </c>
      <c r="H1623" s="18" t="s">
        <v>7</v>
      </c>
      <c r="I1623" s="18" t="s">
        <v>8</v>
      </c>
    </row>
    <row r="1624" spans="1:9" ht="12.75">
      <c r="A1624" s="23" t="s">
        <v>279</v>
      </c>
      <c r="B1624" s="23" t="s">
        <v>91</v>
      </c>
      <c r="C1624" s="24">
        <f>(4/3)^2*E1624</f>
        <v>58.48888888888888</v>
      </c>
      <c r="D1624" s="18">
        <v>50.48</v>
      </c>
      <c r="E1624" s="18">
        <v>32.9</v>
      </c>
      <c r="F1624" s="25">
        <f>-((D1624-C1624)/D1624)</f>
        <v>0.15865469272759278</v>
      </c>
      <c r="G1624" s="24">
        <f>C1624-D1624</f>
        <v>8.008888888888883</v>
      </c>
      <c r="H1624" s="18">
        <v>930</v>
      </c>
      <c r="I1624" s="18" t="s">
        <v>276</v>
      </c>
    </row>
    <row r="1625" spans="1:9" ht="12.75">
      <c r="A1625" s="5"/>
      <c r="B1625" s="23" t="s">
        <v>92</v>
      </c>
      <c r="C1625" s="24">
        <f>(4/3)^2*E1625</f>
        <v>49.12</v>
      </c>
      <c r="D1625" s="18">
        <v>43.03</v>
      </c>
      <c r="E1625" s="18">
        <v>27.63</v>
      </c>
      <c r="F1625" s="25">
        <f>-((D1625-C1625)/D1625)</f>
        <v>0.1415291656983499</v>
      </c>
      <c r="G1625" s="24">
        <f>C1625-D1625</f>
        <v>6.089999999999996</v>
      </c>
      <c r="H1625" s="18">
        <v>930</v>
      </c>
      <c r="I1625" s="18" t="s">
        <v>276</v>
      </c>
    </row>
    <row r="1626" spans="1:9" ht="12.75">
      <c r="A1626" s="5"/>
      <c r="B1626" s="23" t="s">
        <v>93</v>
      </c>
      <c r="C1626" s="24">
        <f>(4/3)^2*E1626</f>
        <v>34.22222222222222</v>
      </c>
      <c r="D1626" s="18">
        <v>30.69</v>
      </c>
      <c r="E1626" s="18">
        <v>19.25</v>
      </c>
      <c r="F1626" s="25">
        <f>-((D1626-C1626)/D1626)</f>
        <v>0.11509358821186771</v>
      </c>
      <c r="G1626" s="24">
        <f>C1626-D1626</f>
        <v>3.53222222222222</v>
      </c>
      <c r="H1626" s="18">
        <v>930</v>
      </c>
      <c r="I1626" s="18" t="s">
        <v>276</v>
      </c>
    </row>
    <row r="1627" spans="1:9" ht="12.75">
      <c r="A1627" s="5"/>
      <c r="B1627" s="23" t="s">
        <v>44</v>
      </c>
      <c r="C1627" s="24">
        <f>(4/3)^2*E1627</f>
        <v>38.06222222222222</v>
      </c>
      <c r="D1627" s="18">
        <v>33.28</v>
      </c>
      <c r="E1627" s="18">
        <v>21.41</v>
      </c>
      <c r="F1627" s="25">
        <f>-((D1627-C1627)/D1627)</f>
        <v>0.14369658119658102</v>
      </c>
      <c r="G1627" s="24">
        <f>C1627-D1627</f>
        <v>4.782222222222217</v>
      </c>
      <c r="H1627" s="18">
        <v>930</v>
      </c>
      <c r="I1627" s="18" t="s">
        <v>276</v>
      </c>
    </row>
    <row r="1628" spans="1:9" ht="12.75">
      <c r="A1628" s="5"/>
      <c r="B1628" s="23" t="s">
        <v>96</v>
      </c>
      <c r="C1628" s="24">
        <f>(4/3)^2*E1628</f>
        <v>40.53333333333333</v>
      </c>
      <c r="D1628" s="18">
        <v>35.93</v>
      </c>
      <c r="E1628" s="18">
        <v>22.8</v>
      </c>
      <c r="F1628" s="25">
        <f>-((D1628-C1628)/D1628)</f>
        <v>0.12811949160404487</v>
      </c>
      <c r="G1628" s="24">
        <f>C1628-D1628</f>
        <v>4.603333333333332</v>
      </c>
      <c r="H1628" s="18">
        <v>930</v>
      </c>
      <c r="I1628" s="18" t="s">
        <v>276</v>
      </c>
    </row>
    <row r="1629" spans="1:9" ht="12.75">
      <c r="A1629" s="5"/>
      <c r="B1629" s="23" t="s">
        <v>148</v>
      </c>
      <c r="C1629" s="24">
        <f>(4/3)^2*E1629</f>
        <v>50.96888888888889</v>
      </c>
      <c r="D1629" s="18">
        <v>46.95</v>
      </c>
      <c r="E1629" s="18">
        <v>28.67</v>
      </c>
      <c r="F1629" s="25">
        <f>-((D1629-C1629)/D1629)</f>
        <v>0.08559933735652583</v>
      </c>
      <c r="G1629" s="24">
        <f>C1629-D1629</f>
        <v>4.018888888888888</v>
      </c>
      <c r="H1629" s="18">
        <v>930</v>
      </c>
      <c r="I1629" s="18" t="s">
        <v>276</v>
      </c>
    </row>
    <row r="1630" spans="1:9" ht="12.75">
      <c r="A1630" s="5"/>
      <c r="B1630" s="23" t="s">
        <v>244</v>
      </c>
      <c r="C1630" s="24">
        <f>(4/3)^2*E1630</f>
        <v>50.666666666666664</v>
      </c>
      <c r="D1630" s="18">
        <v>46.26</v>
      </c>
      <c r="E1630" s="18">
        <v>28.5</v>
      </c>
      <c r="F1630" s="25">
        <f>-((D1630-C1630)/D1630)</f>
        <v>0.09525868280732093</v>
      </c>
      <c r="G1630" s="24">
        <f>C1630-D1630</f>
        <v>4.406666666666666</v>
      </c>
      <c r="H1630" s="18">
        <v>930</v>
      </c>
      <c r="I1630" s="18" t="s">
        <v>276</v>
      </c>
    </row>
    <row r="1631" spans="1:9" ht="12.75">
      <c r="A1631" s="5"/>
      <c r="B1631" s="23" t="s">
        <v>97</v>
      </c>
      <c r="C1631" s="24">
        <f>(4/3)^2*E1631</f>
        <v>46.648888888888884</v>
      </c>
      <c r="D1631" s="18">
        <v>42.91</v>
      </c>
      <c r="E1631" s="18">
        <v>26.24</v>
      </c>
      <c r="F1631" s="25">
        <f>-((D1631-C1631)/D1631)</f>
        <v>0.0871332763665553</v>
      </c>
      <c r="G1631" s="24">
        <f>C1631-D1631</f>
        <v>3.738888888888887</v>
      </c>
      <c r="H1631" s="18">
        <v>930</v>
      </c>
      <c r="I1631" s="18" t="s">
        <v>276</v>
      </c>
    </row>
    <row r="1632" spans="1:9" ht="12.75">
      <c r="A1632" s="5"/>
      <c r="B1632" s="23" t="s">
        <v>98</v>
      </c>
      <c r="C1632" s="24">
        <f>(4/3)^2*E1632</f>
        <v>39.217777777777776</v>
      </c>
      <c r="D1632" s="18">
        <v>36.66</v>
      </c>
      <c r="E1632" s="18">
        <v>22.06</v>
      </c>
      <c r="F1632" s="25">
        <f>-((D1632-C1632)/D1632)</f>
        <v>0.06977026125962302</v>
      </c>
      <c r="G1632" s="24">
        <f>C1632-D1632</f>
        <v>2.5577777777777797</v>
      </c>
      <c r="H1632" s="18">
        <v>930</v>
      </c>
      <c r="I1632" s="18" t="s">
        <v>276</v>
      </c>
    </row>
    <row r="1633" spans="1:9" ht="12.75">
      <c r="A1633" s="5"/>
      <c r="B1633" s="23" t="s">
        <v>103</v>
      </c>
      <c r="C1633" s="24">
        <f>(4/3)^2*E1633</f>
        <v>35.78666666666666</v>
      </c>
      <c r="D1633" s="18">
        <v>33.18</v>
      </c>
      <c r="E1633" s="18">
        <v>20.13</v>
      </c>
      <c r="F1633" s="25">
        <f>-((D1633-C1633)/D1633)</f>
        <v>0.07856138235885057</v>
      </c>
      <c r="G1633" s="24">
        <f>C1633-D1633</f>
        <v>2.606666666666662</v>
      </c>
      <c r="H1633" s="18">
        <v>930</v>
      </c>
      <c r="I1633" s="18" t="s">
        <v>276</v>
      </c>
    </row>
    <row r="1634" spans="1:9" ht="12.75">
      <c r="A1634" s="5"/>
      <c r="B1634" s="23" t="s">
        <v>107</v>
      </c>
      <c r="C1634" s="24">
        <f>(4/3)^2*E1634</f>
        <v>41.88444444444444</v>
      </c>
      <c r="D1634" s="18">
        <v>37.42</v>
      </c>
      <c r="E1634" s="18">
        <v>23.56</v>
      </c>
      <c r="F1634" s="25">
        <f>-((D1634-C1634)/D1634)</f>
        <v>0.11930637211235806</v>
      </c>
      <c r="G1634" s="24">
        <f>C1634-D1634</f>
        <v>4.464444444444439</v>
      </c>
      <c r="H1634" s="18">
        <v>930</v>
      </c>
      <c r="I1634" s="18" t="s">
        <v>276</v>
      </c>
    </row>
    <row r="1635" spans="1:9" ht="12.75">
      <c r="A1635" s="5"/>
      <c r="B1635" s="23" t="s">
        <v>83</v>
      </c>
      <c r="C1635" s="24">
        <f>(4/3)^2*E1635</f>
        <v>34.79111111111111</v>
      </c>
      <c r="D1635" s="18">
        <v>33.32</v>
      </c>
      <c r="E1635" s="18">
        <v>19.57</v>
      </c>
      <c r="F1635" s="25">
        <f>-((D1635-C1635)/D1635)</f>
        <v>0.044150993730825525</v>
      </c>
      <c r="G1635" s="24">
        <f>C1635-D1635</f>
        <v>1.4711111111111066</v>
      </c>
      <c r="H1635" s="18">
        <v>930</v>
      </c>
      <c r="I1635" s="18" t="s">
        <v>276</v>
      </c>
    </row>
    <row r="1636" spans="1:9" ht="12.75">
      <c r="A1636" s="5"/>
      <c r="B1636" s="23"/>
      <c r="C1636" s="24"/>
      <c r="D1636" s="18"/>
      <c r="E1636" s="18" t="s">
        <v>14</v>
      </c>
      <c r="F1636" s="25">
        <f>AVERAGE(F1624:F1635)</f>
        <v>0.10557281878587461</v>
      </c>
      <c r="G1636" s="24">
        <f>AVERAGE(G1624:G1635)</f>
        <v>4.19009259259259</v>
      </c>
      <c r="H1636" s="18"/>
      <c r="I1636" s="18"/>
    </row>
    <row r="1637" spans="2:9" ht="12.75">
      <c r="B1637" s="88"/>
      <c r="C1637" s="88"/>
      <c r="D1637" s="89"/>
      <c r="E1637" s="89"/>
      <c r="F1637" s="89"/>
      <c r="G1637" s="89"/>
      <c r="H1637" s="89"/>
      <c r="I1637" s="74"/>
    </row>
    <row r="1638" spans="1:9" ht="12.75">
      <c r="A1638" s="69" t="s">
        <v>0</v>
      </c>
      <c r="B1638" s="69" t="s">
        <v>1</v>
      </c>
      <c r="C1638" s="70" t="s">
        <v>280</v>
      </c>
      <c r="D1638" s="70" t="s">
        <v>218</v>
      </c>
      <c r="E1638" s="70" t="s">
        <v>73</v>
      </c>
      <c r="F1638" s="70" t="s">
        <v>5</v>
      </c>
      <c r="G1638" s="70" t="s">
        <v>6</v>
      </c>
      <c r="H1638" s="70" t="s">
        <v>7</v>
      </c>
      <c r="I1638" s="70" t="s">
        <v>8</v>
      </c>
    </row>
    <row r="1639" spans="1:9" ht="12.75">
      <c r="A1639" s="69" t="s">
        <v>279</v>
      </c>
      <c r="B1639" s="69" t="s">
        <v>92</v>
      </c>
      <c r="C1639" s="71">
        <f>(5/4)^1.68*E1639</f>
        <v>62.60084103366533</v>
      </c>
      <c r="D1639" s="70">
        <v>58.01</v>
      </c>
      <c r="E1639" s="70">
        <v>43.03</v>
      </c>
      <c r="F1639" s="72">
        <f>-((D1639-C1639)/D1639)</f>
        <v>0.0791387869964719</v>
      </c>
      <c r="G1639" s="71">
        <f>C1639-D1639</f>
        <v>4.590841033665335</v>
      </c>
      <c r="H1639" s="70">
        <v>930</v>
      </c>
      <c r="I1639" s="70" t="s">
        <v>276</v>
      </c>
    </row>
    <row r="1640" spans="2:9" ht="12.75">
      <c r="B1640" s="69" t="s">
        <v>93</v>
      </c>
      <c r="C1640" s="71">
        <f>(5/4)^1.68*E1640</f>
        <v>44.64838046300695</v>
      </c>
      <c r="D1640" s="70">
        <v>42.57</v>
      </c>
      <c r="E1640" s="70">
        <v>30.69</v>
      </c>
      <c r="F1640" s="72">
        <f>-((D1640-C1640)/D1640)</f>
        <v>0.04882265593157038</v>
      </c>
      <c r="G1640" s="71">
        <f>C1640-D1640</f>
        <v>2.078380463006951</v>
      </c>
      <c r="H1640" s="70">
        <v>930</v>
      </c>
      <c r="I1640" s="70" t="s">
        <v>276</v>
      </c>
    </row>
    <row r="1641" spans="2:9" ht="12.75">
      <c r="B1641" s="69" t="s">
        <v>44</v>
      </c>
      <c r="C1641" s="71">
        <f>(5/4)^1.68*E1641</f>
        <v>48.41636043691337</v>
      </c>
      <c r="D1641" s="70">
        <v>46.47</v>
      </c>
      <c r="E1641" s="70">
        <v>33.28</v>
      </c>
      <c r="F1641" s="72">
        <f>-((D1641-C1641)/D1641)</f>
        <v>0.041884235784664804</v>
      </c>
      <c r="G1641" s="71">
        <f>C1641-D1641</f>
        <v>1.9463604369133733</v>
      </c>
      <c r="H1641" s="70">
        <v>930</v>
      </c>
      <c r="I1641" s="70" t="s">
        <v>276</v>
      </c>
    </row>
    <row r="1642" spans="2:9" ht="12.75">
      <c r="B1642" s="69" t="s">
        <v>46</v>
      </c>
      <c r="C1642" s="71">
        <f>(5/4)^1.68*E1642</f>
        <v>32.13694116741034</v>
      </c>
      <c r="D1642" s="70">
        <v>30.46</v>
      </c>
      <c r="E1642" s="70">
        <v>22.09</v>
      </c>
      <c r="F1642" s="72">
        <f>-((D1642-C1642)/D1642)</f>
        <v>0.05505387942909852</v>
      </c>
      <c r="G1642" s="71">
        <f>C1642-D1642</f>
        <v>1.676941167410341</v>
      </c>
      <c r="H1642" s="70">
        <v>930</v>
      </c>
      <c r="I1642" s="70" t="s">
        <v>276</v>
      </c>
    </row>
    <row r="1643" spans="2:9" ht="12.75">
      <c r="B1643" s="69" t="s">
        <v>103</v>
      </c>
      <c r="C1643" s="71">
        <f>(5/4)^1.68*E1643</f>
        <v>48.270878584638986</v>
      </c>
      <c r="D1643" s="70">
        <v>49.39</v>
      </c>
      <c r="E1643" s="70">
        <v>33.18</v>
      </c>
      <c r="F1643" s="72">
        <f>-((D1643-C1643)/D1643)</f>
        <v>-0.022658866478255005</v>
      </c>
      <c r="G1643" s="71">
        <f>C1643-D1643</f>
        <v>-1.1191214153610147</v>
      </c>
      <c r="H1643" s="70">
        <v>930</v>
      </c>
      <c r="I1643" s="70" t="s">
        <v>276</v>
      </c>
    </row>
    <row r="1644" spans="2:9" ht="12.75">
      <c r="B1644" s="69" t="s">
        <v>104</v>
      </c>
      <c r="C1644" s="71">
        <f>(5/4)^1.68*E1644</f>
        <v>41.84058071411143</v>
      </c>
      <c r="D1644" s="70">
        <v>42.79</v>
      </c>
      <c r="E1644" s="70">
        <v>28.76</v>
      </c>
      <c r="F1644" s="72">
        <f>-((D1644-C1644)/D1644)</f>
        <v>-0.022187877679097145</v>
      </c>
      <c r="G1644" s="71">
        <f>C1644-D1644</f>
        <v>-0.9494192858885668</v>
      </c>
      <c r="H1644" s="70">
        <v>930</v>
      </c>
      <c r="I1644" s="70" t="s">
        <v>276</v>
      </c>
    </row>
    <row r="1645" spans="2:9" ht="12.75">
      <c r="B1645" s="69" t="s">
        <v>105</v>
      </c>
      <c r="C1645" s="71">
        <f>(5/4)^1.68*E1645</f>
        <v>39.076425520898226</v>
      </c>
      <c r="D1645" s="70">
        <v>40.83</v>
      </c>
      <c r="E1645" s="70">
        <v>26.86</v>
      </c>
      <c r="F1645" s="72">
        <f>-((D1645-C1645)/D1645)</f>
        <v>-0.04294818709531648</v>
      </c>
      <c r="G1645" s="71">
        <f>C1645-D1645</f>
        <v>-1.753574479101772</v>
      </c>
      <c r="H1645" s="70">
        <v>930</v>
      </c>
      <c r="I1645" s="70" t="s">
        <v>276</v>
      </c>
    </row>
    <row r="1646" spans="2:9" ht="12.75">
      <c r="B1646" s="69" t="s">
        <v>83</v>
      </c>
      <c r="C1646" s="71">
        <f>(5/4)^1.68*E1646</f>
        <v>48.47455317782312</v>
      </c>
      <c r="D1646" s="70">
        <v>49.19</v>
      </c>
      <c r="E1646" s="70">
        <v>33.32</v>
      </c>
      <c r="F1646" s="72">
        <f>-((D1646-C1646)/D1646)</f>
        <v>-0.01454455828779995</v>
      </c>
      <c r="G1646" s="71">
        <f>C1646-D1646</f>
        <v>-0.7154468221768795</v>
      </c>
      <c r="H1646" s="70">
        <v>930</v>
      </c>
      <c r="I1646" s="70" t="s">
        <v>276</v>
      </c>
    </row>
    <row r="1647" spans="2:9" ht="12.75">
      <c r="B1647" s="69" t="s">
        <v>84</v>
      </c>
      <c r="C1647" s="71">
        <f>(5/4)^1.68*E1647</f>
        <v>31.816881092406714</v>
      </c>
      <c r="D1647" s="70">
        <v>32.99</v>
      </c>
      <c r="E1647" s="70">
        <v>21.87</v>
      </c>
      <c r="F1647" s="72">
        <f>-((D1647-C1647)/D1647)</f>
        <v>-0.035559833512982364</v>
      </c>
      <c r="G1647" s="71">
        <f>C1647-D1647</f>
        <v>-1.1731189075932882</v>
      </c>
      <c r="H1647" s="70">
        <v>930</v>
      </c>
      <c r="I1647" s="70" t="s">
        <v>276</v>
      </c>
    </row>
    <row r="1648" spans="2:9" ht="12.75">
      <c r="B1648" s="69" t="s">
        <v>50</v>
      </c>
      <c r="C1648" s="71">
        <f>(5/4)^1.68*E1648</f>
        <v>38.741817260667155</v>
      </c>
      <c r="D1648" s="70">
        <v>40.45</v>
      </c>
      <c r="E1648" s="70">
        <v>26.63</v>
      </c>
      <c r="F1648" s="72">
        <f>-((D1648-C1648)/D1648)</f>
        <v>-0.04222948675730156</v>
      </c>
      <c r="G1648" s="71">
        <f>C1648-D1648</f>
        <v>-1.7081827393328481</v>
      </c>
      <c r="H1648" s="70">
        <v>930</v>
      </c>
      <c r="I1648" s="70" t="s">
        <v>276</v>
      </c>
    </row>
    <row r="1649" spans="2:9" ht="12.75">
      <c r="B1649" s="69" t="s">
        <v>52</v>
      </c>
      <c r="C1649" s="71">
        <f>(5/4)^1.68*E1649</f>
        <v>30.78395994125862</v>
      </c>
      <c r="D1649" s="70">
        <v>32.11</v>
      </c>
      <c r="E1649" s="70">
        <v>21.16</v>
      </c>
      <c r="F1649" s="72">
        <f>-((D1649-C1649)/D1649)</f>
        <v>-0.04129679410592901</v>
      </c>
      <c r="G1649" s="71">
        <f>C1649-D1649</f>
        <v>-1.3260400587413805</v>
      </c>
      <c r="H1649" s="70">
        <v>930</v>
      </c>
      <c r="I1649" s="70" t="s">
        <v>276</v>
      </c>
    </row>
    <row r="1650" spans="2:9" ht="12.75">
      <c r="B1650" s="69"/>
      <c r="C1650" s="71"/>
      <c r="D1650" s="70"/>
      <c r="E1650" s="70" t="s">
        <v>14</v>
      </c>
      <c r="F1650" s="72">
        <f>AVERAGE(F1639:F1649)</f>
        <v>0.00031581402046582487</v>
      </c>
      <c r="G1650" s="71">
        <f>AVERAGE(G1639:G1649)</f>
        <v>0.14069267207275002</v>
      </c>
      <c r="H1650" s="70"/>
      <c r="I1650" s="70"/>
    </row>
    <row r="1651" spans="2:9" ht="12.75">
      <c r="B1651" s="69"/>
      <c r="C1651" s="71"/>
      <c r="D1651" s="70"/>
      <c r="E1651" s="70"/>
      <c r="F1651" s="72"/>
      <c r="G1651" s="71"/>
      <c r="H1651" s="70"/>
      <c r="I1651" s="70"/>
    </row>
    <row r="1652" spans="1:9" ht="12.75">
      <c r="A1652" s="73" t="s">
        <v>0</v>
      </c>
      <c r="B1652" s="73" t="s">
        <v>1</v>
      </c>
      <c r="C1652" s="74" t="s">
        <v>219</v>
      </c>
      <c r="D1652" s="74" t="s">
        <v>218</v>
      </c>
      <c r="E1652" s="74" t="s">
        <v>73</v>
      </c>
      <c r="F1652" s="74" t="s">
        <v>5</v>
      </c>
      <c r="G1652" s="74" t="s">
        <v>6</v>
      </c>
      <c r="H1652" s="74" t="s">
        <v>7</v>
      </c>
      <c r="I1652" s="74" t="s">
        <v>8</v>
      </c>
    </row>
    <row r="1653" spans="1:9" ht="12.75">
      <c r="A1653" s="73" t="s">
        <v>279</v>
      </c>
      <c r="B1653" s="73" t="s">
        <v>92</v>
      </c>
      <c r="C1653" s="75">
        <f>(5/4)^2*E1653</f>
        <v>67.234375</v>
      </c>
      <c r="D1653" s="74">
        <v>58.01</v>
      </c>
      <c r="E1653" s="74">
        <v>43.03</v>
      </c>
      <c r="F1653" s="76">
        <f>-((D1653-C1653)/D1653)</f>
        <v>0.1590135321496294</v>
      </c>
      <c r="G1653" s="75">
        <f>C1653-D1653</f>
        <v>9.224375000000002</v>
      </c>
      <c r="H1653" s="74">
        <v>930</v>
      </c>
      <c r="I1653" s="74" t="s">
        <v>276</v>
      </c>
    </row>
    <row r="1654" spans="1:9" ht="12.75">
      <c r="A1654" s="5"/>
      <c r="B1654" s="73" t="s">
        <v>93</v>
      </c>
      <c r="C1654" s="75">
        <f>(5/4)^2*E1654</f>
        <v>47.953125</v>
      </c>
      <c r="D1654" s="74">
        <v>42.57</v>
      </c>
      <c r="E1654" s="74">
        <v>30.69</v>
      </c>
      <c r="F1654" s="76">
        <f>-((D1654-C1654)/D1654)</f>
        <v>0.12645348837209303</v>
      </c>
      <c r="G1654" s="75">
        <f>C1654-D1654</f>
        <v>5.383125</v>
      </c>
      <c r="H1654" s="74">
        <v>930</v>
      </c>
      <c r="I1654" s="74" t="s">
        <v>276</v>
      </c>
    </row>
    <row r="1655" spans="1:9" ht="12.75">
      <c r="A1655" s="5"/>
      <c r="B1655" s="73" t="s">
        <v>44</v>
      </c>
      <c r="C1655" s="75">
        <f>(5/4)^2*E1655</f>
        <v>52</v>
      </c>
      <c r="D1655" s="74">
        <v>46.47</v>
      </c>
      <c r="E1655" s="74">
        <v>33.28</v>
      </c>
      <c r="F1655" s="76">
        <f>-((D1655-C1655)/D1655)</f>
        <v>0.11900150634818164</v>
      </c>
      <c r="G1655" s="75">
        <f>C1655-D1655</f>
        <v>5.530000000000001</v>
      </c>
      <c r="H1655" s="74">
        <v>930</v>
      </c>
      <c r="I1655" s="74" t="s">
        <v>276</v>
      </c>
    </row>
    <row r="1656" spans="1:9" ht="12.75">
      <c r="A1656" s="5"/>
      <c r="B1656" s="73" t="s">
        <v>46</v>
      </c>
      <c r="C1656" s="75">
        <f>(5/4)^2*E1656</f>
        <v>34.515625</v>
      </c>
      <c r="D1656" s="74">
        <v>30.46</v>
      </c>
      <c r="E1656" s="74">
        <v>22.09</v>
      </c>
      <c r="F1656" s="76">
        <f>-((D1656-C1656)/D1656)</f>
        <v>0.1331459290873276</v>
      </c>
      <c r="G1656" s="75">
        <f>C1656-D1656</f>
        <v>4.055624999999999</v>
      </c>
      <c r="H1656" s="74">
        <v>930</v>
      </c>
      <c r="I1656" s="74" t="s">
        <v>276</v>
      </c>
    </row>
    <row r="1657" spans="1:9" ht="12.75">
      <c r="A1657" s="5"/>
      <c r="B1657" s="73" t="s">
        <v>103</v>
      </c>
      <c r="C1657" s="75">
        <f>(5/4)^2*E1657</f>
        <v>51.84375</v>
      </c>
      <c r="D1657" s="74">
        <v>49.39</v>
      </c>
      <c r="E1657" s="74">
        <v>33.18</v>
      </c>
      <c r="F1657" s="76">
        <f>-((D1657-C1657)/D1657)</f>
        <v>0.04968110953634338</v>
      </c>
      <c r="G1657" s="75">
        <f>C1657-D1657</f>
        <v>2.4537499999999994</v>
      </c>
      <c r="H1657" s="74">
        <v>930</v>
      </c>
      <c r="I1657" s="74" t="s">
        <v>276</v>
      </c>
    </row>
    <row r="1658" spans="1:9" ht="12.75">
      <c r="A1658" s="5"/>
      <c r="B1658" s="73" t="s">
        <v>104</v>
      </c>
      <c r="C1658" s="75">
        <f>(5/4)^2*E1658</f>
        <v>44.9375</v>
      </c>
      <c r="D1658" s="74">
        <v>42.79</v>
      </c>
      <c r="E1658" s="74">
        <v>28.76</v>
      </c>
      <c r="F1658" s="76">
        <f>-((D1658-C1658)/D1658)</f>
        <v>0.05018695956999301</v>
      </c>
      <c r="G1658" s="75">
        <f>C1658-D1658</f>
        <v>2.147500000000001</v>
      </c>
      <c r="H1658" s="74">
        <v>930</v>
      </c>
      <c r="I1658" s="74" t="s">
        <v>276</v>
      </c>
    </row>
    <row r="1659" spans="1:9" ht="12.75">
      <c r="A1659" s="5"/>
      <c r="B1659" s="73" t="s">
        <v>105</v>
      </c>
      <c r="C1659" s="75">
        <f>(5/4)^2*E1659</f>
        <v>41.96875</v>
      </c>
      <c r="D1659" s="74">
        <v>40.83</v>
      </c>
      <c r="E1659" s="74">
        <v>26.86</v>
      </c>
      <c r="F1659" s="76">
        <f>-((D1659-C1659)/D1659)</f>
        <v>0.027890031839333865</v>
      </c>
      <c r="G1659" s="75">
        <f>C1659-D1659</f>
        <v>1.1387500000000017</v>
      </c>
      <c r="H1659" s="74">
        <v>930</v>
      </c>
      <c r="I1659" s="74" t="s">
        <v>276</v>
      </c>
    </row>
    <row r="1660" spans="1:9" ht="12.75">
      <c r="A1660" s="5"/>
      <c r="B1660" s="73" t="s">
        <v>83</v>
      </c>
      <c r="C1660" s="75">
        <f>(5/4)^2*E1660</f>
        <v>52.0625</v>
      </c>
      <c r="D1660" s="74">
        <v>49.19</v>
      </c>
      <c r="E1660" s="74">
        <v>33.32</v>
      </c>
      <c r="F1660" s="76">
        <f>-((D1660-C1660)/D1660)</f>
        <v>0.058396015450294825</v>
      </c>
      <c r="G1660" s="75">
        <f>C1660-D1660</f>
        <v>2.8725000000000023</v>
      </c>
      <c r="H1660" s="74">
        <v>930</v>
      </c>
      <c r="I1660" s="74" t="s">
        <v>276</v>
      </c>
    </row>
    <row r="1661" spans="1:9" ht="12.75">
      <c r="A1661" s="5"/>
      <c r="B1661" s="73" t="s">
        <v>84</v>
      </c>
      <c r="C1661" s="75">
        <f>(5/4)^2*E1661</f>
        <v>34.171875</v>
      </c>
      <c r="D1661" s="74">
        <v>32.99</v>
      </c>
      <c r="E1661" s="74">
        <v>21.87</v>
      </c>
      <c r="F1661" s="76">
        <f>-((D1661-C1661)/D1661)</f>
        <v>0.035825250075780475</v>
      </c>
      <c r="G1661" s="75">
        <f>C1661-D1661</f>
        <v>1.181874999999998</v>
      </c>
      <c r="H1661" s="74">
        <v>930</v>
      </c>
      <c r="I1661" s="74" t="s">
        <v>276</v>
      </c>
    </row>
    <row r="1662" spans="1:9" ht="12.75">
      <c r="A1662" s="5"/>
      <c r="B1662" s="73" t="s">
        <v>50</v>
      </c>
      <c r="C1662" s="75">
        <f>(5/4)^2*E1662</f>
        <v>41.609375</v>
      </c>
      <c r="D1662" s="74">
        <v>40.45</v>
      </c>
      <c r="E1662" s="74">
        <v>26.63</v>
      </c>
      <c r="F1662" s="76">
        <f>-((D1662-C1662)/D1662)</f>
        <v>0.028661928306551225</v>
      </c>
      <c r="G1662" s="75">
        <f>C1662-D1662</f>
        <v>1.1593749999999972</v>
      </c>
      <c r="H1662" s="74">
        <v>930</v>
      </c>
      <c r="I1662" s="74" t="s">
        <v>276</v>
      </c>
    </row>
    <row r="1663" spans="1:9" ht="12.75">
      <c r="A1663" s="5"/>
      <c r="B1663" s="73" t="s">
        <v>52</v>
      </c>
      <c r="C1663" s="75">
        <f>(5/4)^2*E1663</f>
        <v>33.0625</v>
      </c>
      <c r="D1663" s="74">
        <v>32.11</v>
      </c>
      <c r="E1663" s="74">
        <v>21.16</v>
      </c>
      <c r="F1663" s="76">
        <f>-((D1663-C1663)/D1663)</f>
        <v>0.029663656181874824</v>
      </c>
      <c r="G1663" s="75">
        <f>C1663-D1663</f>
        <v>0.9525000000000006</v>
      </c>
      <c r="H1663" s="74">
        <v>930</v>
      </c>
      <c r="I1663" s="74" t="s">
        <v>276</v>
      </c>
    </row>
    <row r="1664" spans="1:9" ht="12.75">
      <c r="A1664" s="5"/>
      <c r="B1664" s="73"/>
      <c r="C1664" s="75"/>
      <c r="D1664" s="74"/>
      <c r="E1664" s="74" t="s">
        <v>14</v>
      </c>
      <c r="F1664" s="76">
        <f>AVERAGE(F1653:F1663)</f>
        <v>0.07435630971976394</v>
      </c>
      <c r="G1664" s="75">
        <f>AVERAGE(G1653:G1663)</f>
        <v>3.2817613636363636</v>
      </c>
      <c r="H1664" s="74"/>
      <c r="I1664" s="74"/>
    </row>
    <row r="1665" spans="2:9" ht="12.75">
      <c r="B1665" s="20"/>
      <c r="C1665" s="71"/>
      <c r="D1665" s="16"/>
      <c r="E1665" s="16"/>
      <c r="F1665" s="72"/>
      <c r="G1665" s="71"/>
      <c r="H1665" s="70"/>
      <c r="I1665" s="74"/>
    </row>
    <row r="1666" spans="1:9" ht="12.75">
      <c r="A1666" s="79" t="s">
        <v>0</v>
      </c>
      <c r="B1666" s="79" t="s">
        <v>1</v>
      </c>
      <c r="C1666" s="80" t="s">
        <v>281</v>
      </c>
      <c r="D1666" s="80" t="s">
        <v>194</v>
      </c>
      <c r="E1666" s="80" t="s">
        <v>218</v>
      </c>
      <c r="F1666" s="80" t="s">
        <v>5</v>
      </c>
      <c r="G1666" s="80" t="s">
        <v>6</v>
      </c>
      <c r="H1666" s="80" t="s">
        <v>7</v>
      </c>
      <c r="I1666" s="80" t="s">
        <v>8</v>
      </c>
    </row>
    <row r="1667" spans="1:9" ht="12.75">
      <c r="A1667" s="79" t="s">
        <v>279</v>
      </c>
      <c r="B1667" s="79" t="s">
        <v>46</v>
      </c>
      <c r="C1667" s="81">
        <f>(6/5)^1.83*E1667</f>
        <v>42.52375225477479</v>
      </c>
      <c r="D1667" s="80">
        <v>40.12</v>
      </c>
      <c r="E1667" s="80">
        <v>30.46</v>
      </c>
      <c r="F1667" s="82">
        <f>-((D1667-C1667)/D1667)</f>
        <v>0.05991406417683934</v>
      </c>
      <c r="G1667" s="81">
        <f>C1667-D1667</f>
        <v>2.403752254774794</v>
      </c>
      <c r="H1667" s="80">
        <v>930</v>
      </c>
      <c r="I1667" s="80" t="s">
        <v>276</v>
      </c>
    </row>
    <row r="1668" spans="2:9" ht="12.75">
      <c r="B1668" s="79" t="s">
        <v>84</v>
      </c>
      <c r="C1668" s="81">
        <f>(6/5)^1.83*E1668</f>
        <v>46.05576450705911</v>
      </c>
      <c r="D1668" s="80">
        <v>45.72</v>
      </c>
      <c r="E1668" s="80">
        <v>32.99</v>
      </c>
      <c r="F1668" s="82">
        <f>-((D1668-C1668)/D1668)</f>
        <v>0.007343930600592967</v>
      </c>
      <c r="G1668" s="81">
        <f>C1668-D1668</f>
        <v>0.33576450705911043</v>
      </c>
      <c r="H1668" s="80">
        <v>930</v>
      </c>
      <c r="I1668" s="80" t="s">
        <v>276</v>
      </c>
    </row>
    <row r="1669" spans="2:9" ht="12.75">
      <c r="B1669" s="79" t="s">
        <v>71</v>
      </c>
      <c r="C1669" s="81">
        <f>(6/5)^1.83*E1669</f>
        <v>39.82937136666858</v>
      </c>
      <c r="D1669" s="80">
        <v>40.01</v>
      </c>
      <c r="E1669" s="80">
        <v>28.53</v>
      </c>
      <c r="F1669" s="82">
        <f>-((D1669-C1669)/D1669)</f>
        <v>-0.004514587186488783</v>
      </c>
      <c r="G1669" s="81">
        <f>C1669-D1669</f>
        <v>-0.1806286333314162</v>
      </c>
      <c r="H1669" s="80">
        <v>930</v>
      </c>
      <c r="I1669" s="80" t="s">
        <v>276</v>
      </c>
    </row>
    <row r="1670" spans="2:9" ht="12.75">
      <c r="B1670" s="79" t="s">
        <v>52</v>
      </c>
      <c r="C1670" s="81">
        <f>(6/5)^1.83*E1670</f>
        <v>44.827238506264564</v>
      </c>
      <c r="D1670" s="80">
        <v>45.97</v>
      </c>
      <c r="E1670" s="80">
        <v>32.11</v>
      </c>
      <c r="F1670" s="82">
        <f>-((D1670-C1670)/D1670)</f>
        <v>-0.024858853463898954</v>
      </c>
      <c r="G1670" s="81">
        <f>C1670-D1670</f>
        <v>-1.142761493735435</v>
      </c>
      <c r="H1670" s="80">
        <v>930</v>
      </c>
      <c r="I1670" s="80" t="s">
        <v>276</v>
      </c>
    </row>
    <row r="1671" spans="2:9" ht="12.75">
      <c r="B1671" s="79" t="s">
        <v>51</v>
      </c>
      <c r="C1671" s="81">
        <f>(6/5)^1.83*E1671</f>
        <v>27.278861426733403</v>
      </c>
      <c r="D1671" s="80">
        <v>28.25</v>
      </c>
      <c r="E1671" s="80">
        <v>19.54</v>
      </c>
      <c r="F1671" s="82">
        <f>-((D1671-C1671)/D1671)</f>
        <v>-0.03437658666430431</v>
      </c>
      <c r="G1671" s="81">
        <f>C1671-D1671</f>
        <v>-0.9711385732665967</v>
      </c>
      <c r="H1671" s="80">
        <v>930</v>
      </c>
      <c r="I1671" s="80" t="s">
        <v>276</v>
      </c>
    </row>
    <row r="1672" spans="1:9" ht="12.75">
      <c r="A1672" s="5"/>
      <c r="B1672" s="73"/>
      <c r="C1672" s="75"/>
      <c r="D1672" s="74"/>
      <c r="E1672" s="80" t="s">
        <v>14</v>
      </c>
      <c r="F1672" s="82">
        <f>AVERAGE(F1667:F1671)</f>
        <v>0.0007015934925480527</v>
      </c>
      <c r="G1672" s="81">
        <f>AVERAGE(G1667:G1671)</f>
        <v>0.08899761230009133</v>
      </c>
      <c r="H1672" s="74"/>
      <c r="I1672" s="74"/>
    </row>
    <row r="1673" spans="1:9" ht="12.75">
      <c r="A1673" s="5"/>
      <c r="B1673" s="73"/>
      <c r="C1673" s="75"/>
      <c r="D1673" s="74"/>
      <c r="E1673" s="80"/>
      <c r="F1673" s="82"/>
      <c r="G1673" s="81"/>
      <c r="H1673" s="74"/>
      <c r="I1673" s="74"/>
    </row>
    <row r="1674" spans="1:9" ht="12.75">
      <c r="A1674" s="83" t="s">
        <v>0</v>
      </c>
      <c r="B1674" s="83" t="s">
        <v>1</v>
      </c>
      <c r="C1674" s="84" t="s">
        <v>247</v>
      </c>
      <c r="D1674" s="84" t="s">
        <v>194</v>
      </c>
      <c r="E1674" s="84" t="s">
        <v>218</v>
      </c>
      <c r="F1674" s="84" t="s">
        <v>5</v>
      </c>
      <c r="G1674" s="84" t="s">
        <v>6</v>
      </c>
      <c r="H1674" s="84" t="s">
        <v>7</v>
      </c>
      <c r="I1674" s="84" t="s">
        <v>8</v>
      </c>
    </row>
    <row r="1675" spans="1:9" ht="12.75">
      <c r="A1675" s="83" t="s">
        <v>279</v>
      </c>
      <c r="B1675" s="83" t="s">
        <v>46</v>
      </c>
      <c r="C1675" s="85">
        <f>(6/5)^2*E1675</f>
        <v>43.8624</v>
      </c>
      <c r="D1675" s="84">
        <v>40.12</v>
      </c>
      <c r="E1675" s="84">
        <v>30.46</v>
      </c>
      <c r="F1675" s="86">
        <f>-((D1675-C1675)/D1675)</f>
        <v>0.09328015952143578</v>
      </c>
      <c r="G1675" s="85">
        <f>C1675-D1675</f>
        <v>3.7424000000000035</v>
      </c>
      <c r="H1675" s="84">
        <v>930</v>
      </c>
      <c r="I1675" s="84" t="s">
        <v>276</v>
      </c>
    </row>
    <row r="1676" spans="1:9" ht="12.75">
      <c r="A1676" s="5"/>
      <c r="B1676" s="83" t="s">
        <v>84</v>
      </c>
      <c r="C1676" s="85">
        <f>(6/5)^2*E1676</f>
        <v>47.5056</v>
      </c>
      <c r="D1676" s="84">
        <v>45.72</v>
      </c>
      <c r="E1676" s="84">
        <v>32.99</v>
      </c>
      <c r="F1676" s="86">
        <f>-((D1676-C1676)/D1676)</f>
        <v>0.03905511811023627</v>
      </c>
      <c r="G1676" s="85">
        <f>C1676-D1676</f>
        <v>1.7856000000000023</v>
      </c>
      <c r="H1676" s="84">
        <v>930</v>
      </c>
      <c r="I1676" s="84" t="s">
        <v>276</v>
      </c>
    </row>
    <row r="1677" spans="1:9" ht="12.75">
      <c r="A1677" s="5"/>
      <c r="B1677" s="83" t="s">
        <v>71</v>
      </c>
      <c r="C1677" s="85">
        <f>(6/5)^2*E1677</f>
        <v>41.0832</v>
      </c>
      <c r="D1677" s="84">
        <v>40.01</v>
      </c>
      <c r="E1677" s="84">
        <v>28.53</v>
      </c>
      <c r="F1677" s="86">
        <f>-((D1677-C1677)/D1677)</f>
        <v>0.026823294176455886</v>
      </c>
      <c r="G1677" s="85">
        <f>C1677-D1677</f>
        <v>1.0732</v>
      </c>
      <c r="H1677" s="84">
        <v>930</v>
      </c>
      <c r="I1677" s="84" t="s">
        <v>276</v>
      </c>
    </row>
    <row r="1678" spans="1:9" ht="12.75">
      <c r="A1678" s="5"/>
      <c r="B1678" s="83" t="s">
        <v>52</v>
      </c>
      <c r="C1678" s="85">
        <f>(6/5)^2*E1678</f>
        <v>46.2384</v>
      </c>
      <c r="D1678" s="84">
        <v>45.97</v>
      </c>
      <c r="E1678" s="84">
        <v>32.11</v>
      </c>
      <c r="F1678" s="86">
        <f>-((D1678-C1678)/D1678)</f>
        <v>0.005838590385033713</v>
      </c>
      <c r="G1678" s="85">
        <f>C1678-D1678</f>
        <v>0.26839999999999975</v>
      </c>
      <c r="H1678" s="84">
        <v>930</v>
      </c>
      <c r="I1678" s="84" t="s">
        <v>276</v>
      </c>
    </row>
    <row r="1679" spans="1:9" ht="12.75">
      <c r="A1679" s="5"/>
      <c r="B1679" s="83" t="s">
        <v>51</v>
      </c>
      <c r="C1679" s="85">
        <f>(6/5)^2*E1679</f>
        <v>28.1376</v>
      </c>
      <c r="D1679" s="84">
        <v>28.25</v>
      </c>
      <c r="E1679" s="84">
        <v>19.54</v>
      </c>
      <c r="F1679" s="86">
        <f>-((D1679-C1679)/D1679)</f>
        <v>-0.003978761061946936</v>
      </c>
      <c r="G1679" s="85">
        <f>C1679-D1679</f>
        <v>-0.11240000000000094</v>
      </c>
      <c r="H1679" s="84">
        <v>930</v>
      </c>
      <c r="I1679" s="84" t="s">
        <v>276</v>
      </c>
    </row>
    <row r="1680" spans="1:9" ht="12.75">
      <c r="A1680" s="5"/>
      <c r="B1680" s="73"/>
      <c r="C1680" s="75"/>
      <c r="D1680" s="74"/>
      <c r="E1680" s="84" t="s">
        <v>14</v>
      </c>
      <c r="F1680" s="86">
        <f>AVERAGE(F1675:F1679)</f>
        <v>0.032203680226242946</v>
      </c>
      <c r="G1680" s="85">
        <f>AVERAGE(G1675:G1679)</f>
        <v>1.3514400000000009</v>
      </c>
      <c r="H1680" s="74"/>
      <c r="I1680" s="74"/>
    </row>
    <row r="1681" spans="1:9" ht="12.75">
      <c r="A1681" s="5"/>
      <c r="B1681" s="73"/>
      <c r="C1681" s="75"/>
      <c r="D1681" s="74"/>
      <c r="E1681" s="80"/>
      <c r="F1681" s="82"/>
      <c r="G1681" s="81"/>
      <c r="H1681" s="74"/>
      <c r="I1681" s="74"/>
    </row>
    <row r="1682" spans="1:9" ht="12.75">
      <c r="A1682" s="20" t="s">
        <v>0</v>
      </c>
      <c r="B1682" s="20" t="s">
        <v>1</v>
      </c>
      <c r="C1682" s="16" t="s">
        <v>141</v>
      </c>
      <c r="D1682" s="16" t="s">
        <v>73</v>
      </c>
      <c r="E1682" s="16" t="s">
        <v>3</v>
      </c>
      <c r="F1682" s="16" t="s">
        <v>5</v>
      </c>
      <c r="G1682" s="16" t="s">
        <v>6</v>
      </c>
      <c r="H1682" s="16" t="s">
        <v>7</v>
      </c>
      <c r="I1682" s="16" t="s">
        <v>8</v>
      </c>
    </row>
    <row r="1683" spans="1:9" ht="12.75">
      <c r="A1683" s="20" t="s">
        <v>282</v>
      </c>
      <c r="B1683" s="20" t="s">
        <v>283</v>
      </c>
      <c r="C1683" s="21">
        <f>(4/3)^1.6*E1683</f>
        <v>48.43925079112953</v>
      </c>
      <c r="D1683" s="16">
        <v>46.62</v>
      </c>
      <c r="E1683" s="16">
        <v>30.57</v>
      </c>
      <c r="F1683" s="22">
        <f>-((D1683-C1683)/D1683)</f>
        <v>0.03902296849269699</v>
      </c>
      <c r="G1683" s="21">
        <f>C1683-D1683</f>
        <v>1.8192507911295337</v>
      </c>
      <c r="H1683" s="16">
        <v>760</v>
      </c>
      <c r="I1683" s="16" t="s">
        <v>276</v>
      </c>
    </row>
    <row r="1684" spans="2:9" ht="12.75">
      <c r="B1684" s="20" t="s">
        <v>284</v>
      </c>
      <c r="C1684" s="21">
        <f>(4/3)^1.6*E1684</f>
        <v>45.50786008247432</v>
      </c>
      <c r="D1684" s="16">
        <v>44.29</v>
      </c>
      <c r="E1684" s="16">
        <v>28.72</v>
      </c>
      <c r="F1684" s="22">
        <f>-((D1684-C1684)/D1684)</f>
        <v>0.027497405339226105</v>
      </c>
      <c r="G1684" s="21">
        <f>C1684-D1684</f>
        <v>1.2178600824743242</v>
      </c>
      <c r="H1684" s="16">
        <v>760</v>
      </c>
      <c r="I1684" s="16" t="s">
        <v>276</v>
      </c>
    </row>
    <row r="1685" spans="2:9" ht="12.75">
      <c r="B1685" s="20" t="s">
        <v>285</v>
      </c>
      <c r="C1685" s="21">
        <f>(4/3)^1.6*E1685</f>
        <v>48.39171472558377</v>
      </c>
      <c r="D1685" s="16">
        <v>47.24</v>
      </c>
      <c r="E1685" s="16">
        <v>30.54</v>
      </c>
      <c r="F1685" s="22">
        <f>-((D1685-C1685)/D1685)</f>
        <v>0.02438007463132442</v>
      </c>
      <c r="G1685" s="21">
        <f>C1685-D1685</f>
        <v>1.1517147255837656</v>
      </c>
      <c r="H1685" s="16">
        <v>760</v>
      </c>
      <c r="I1685" s="16" t="s">
        <v>276</v>
      </c>
    </row>
    <row r="1686" spans="2:9" ht="12.75">
      <c r="B1686" s="20" t="s">
        <v>243</v>
      </c>
      <c r="C1686" s="21">
        <f>(4/3)^1.6*E1686</f>
        <v>35.620358448956225</v>
      </c>
      <c r="D1686" s="16">
        <v>35.12</v>
      </c>
      <c r="E1686" s="16">
        <v>22.48</v>
      </c>
      <c r="F1686" s="22">
        <f>-((D1686-C1686)/D1686)</f>
        <v>0.01424710845547344</v>
      </c>
      <c r="G1686" s="21">
        <f>C1686-D1686</f>
        <v>0.5003584489562272</v>
      </c>
      <c r="H1686" s="16">
        <v>760</v>
      </c>
      <c r="I1686" s="16" t="s">
        <v>276</v>
      </c>
    </row>
    <row r="1687" spans="2:9" ht="12.75">
      <c r="B1687" s="20" t="s">
        <v>286</v>
      </c>
      <c r="C1687" s="21">
        <f>(4/3)^1.6*E1687</f>
        <v>41.13454205226439</v>
      </c>
      <c r="D1687" s="16">
        <v>40.58</v>
      </c>
      <c r="E1687" s="16">
        <v>25.96</v>
      </c>
      <c r="F1687" s="22">
        <f>-((D1687-C1687)/D1687)</f>
        <v>0.01366540296363714</v>
      </c>
      <c r="G1687" s="21">
        <f>C1687-D1687</f>
        <v>0.5545420522643951</v>
      </c>
      <c r="H1687" s="16">
        <v>760</v>
      </c>
      <c r="I1687" s="16" t="s">
        <v>276</v>
      </c>
    </row>
    <row r="1688" spans="2:9" ht="12.75">
      <c r="B1688" s="20" t="s">
        <v>242</v>
      </c>
      <c r="C1688" s="21">
        <f>(4/3)^1.6*E1688</f>
        <v>34.828090689860225</v>
      </c>
      <c r="D1688" s="16">
        <v>34.88</v>
      </c>
      <c r="E1688" s="16">
        <v>21.98</v>
      </c>
      <c r="F1688" s="22">
        <f>-((D1688-C1688)/D1688)</f>
        <v>-0.001488225634741318</v>
      </c>
      <c r="G1688" s="21">
        <f>C1688-D1688</f>
        <v>-0.051909310139777176</v>
      </c>
      <c r="H1688" s="16">
        <v>760</v>
      </c>
      <c r="I1688" s="16" t="s">
        <v>276</v>
      </c>
    </row>
    <row r="1689" spans="2:9" ht="12.75">
      <c r="B1689" s="20" t="s">
        <v>287</v>
      </c>
      <c r="C1689" s="21">
        <f>(4/3)^1.6*E1689</f>
        <v>40.025367189529995</v>
      </c>
      <c r="D1689" s="16">
        <v>40.16</v>
      </c>
      <c r="E1689" s="16">
        <v>25.26</v>
      </c>
      <c r="F1689" s="22">
        <f>-((D1689-C1689)/D1689)</f>
        <v>-0.0033524106192729607</v>
      </c>
      <c r="G1689" s="21">
        <f>C1689-D1689</f>
        <v>-0.13463281047000208</v>
      </c>
      <c r="H1689" s="16">
        <v>760</v>
      </c>
      <c r="I1689" s="16" t="s">
        <v>276</v>
      </c>
    </row>
    <row r="1690" spans="2:9" ht="12.75">
      <c r="B1690" s="20" t="s">
        <v>288</v>
      </c>
      <c r="C1690" s="21">
        <f>(4/3)^1.6*E1690</f>
        <v>37.61687320187814</v>
      </c>
      <c r="D1690" s="16">
        <v>38.11</v>
      </c>
      <c r="E1690" s="16">
        <v>23.74</v>
      </c>
      <c r="F1690" s="22">
        <f>-((D1690-C1690)/D1690)</f>
        <v>-0.012939564369505557</v>
      </c>
      <c r="G1690" s="21">
        <f>C1690-D1690</f>
        <v>-0.4931267981218568</v>
      </c>
      <c r="H1690" s="16">
        <v>760</v>
      </c>
      <c r="I1690" s="16" t="s">
        <v>276</v>
      </c>
    </row>
    <row r="1691" spans="2:9" ht="12.75">
      <c r="B1691" s="20" t="s">
        <v>244</v>
      </c>
      <c r="C1691" s="21">
        <f>(4/3)^1.6*E1691</f>
        <v>29.868494517919256</v>
      </c>
      <c r="D1691" s="16">
        <v>30.46</v>
      </c>
      <c r="E1691" s="16">
        <v>18.85</v>
      </c>
      <c r="F1691" s="22">
        <f>-((D1691-C1691)/D1691)</f>
        <v>-0.01941909002234881</v>
      </c>
      <c r="G1691" s="21">
        <f>C1691-D1691</f>
        <v>-0.5915054820807448</v>
      </c>
      <c r="H1691" s="16">
        <v>760</v>
      </c>
      <c r="I1691" s="16" t="s">
        <v>276</v>
      </c>
    </row>
    <row r="1692" spans="2:9" ht="12.75">
      <c r="B1692" s="20" t="s">
        <v>289</v>
      </c>
      <c r="C1692" s="21">
        <f>(4/3)^1.6*E1692</f>
        <v>37.10982183605671</v>
      </c>
      <c r="D1692" s="16">
        <v>38.07</v>
      </c>
      <c r="E1692" s="16">
        <v>23.42</v>
      </c>
      <c r="F1692" s="22">
        <f>-((D1692-C1692)/D1692)</f>
        <v>-0.025221385971717625</v>
      </c>
      <c r="G1692" s="21">
        <f>C1692-D1692</f>
        <v>-0.96017816394329</v>
      </c>
      <c r="H1692" s="16">
        <v>760</v>
      </c>
      <c r="I1692" s="16" t="s">
        <v>276</v>
      </c>
    </row>
    <row r="1693" spans="2:9" ht="12.75">
      <c r="B1693" s="20" t="s">
        <v>148</v>
      </c>
      <c r="C1693" s="21">
        <f>(4/3)^1.6*E1693</f>
        <v>26.85787703335445</v>
      </c>
      <c r="D1693" s="16">
        <v>28.36</v>
      </c>
      <c r="E1693" s="16">
        <v>16.95</v>
      </c>
      <c r="F1693" s="22">
        <f>-((D1693-C1693)/D1693)</f>
        <v>-0.052966254113030714</v>
      </c>
      <c r="G1693" s="21">
        <f>C1693-D1693</f>
        <v>-1.5021229666455511</v>
      </c>
      <c r="H1693" s="16">
        <v>760</v>
      </c>
      <c r="I1693" s="16" t="s">
        <v>276</v>
      </c>
    </row>
    <row r="1694" spans="2:9" ht="12.75">
      <c r="B1694" s="20"/>
      <c r="C1694" s="21"/>
      <c r="D1694" s="16"/>
      <c r="E1694" s="16" t="s">
        <v>14</v>
      </c>
      <c r="F1694" s="22">
        <f>AVERAGE(F1683:F1693)</f>
        <v>0.0003114571956128269</v>
      </c>
      <c r="G1694" s="21">
        <f>AVERAGE(G1683:G1693)</f>
        <v>0.1372955062733658</v>
      </c>
      <c r="H1694" s="16"/>
      <c r="I1694" s="16"/>
    </row>
    <row r="1695" spans="2:9" ht="12.75">
      <c r="B1695" s="20"/>
      <c r="C1695" s="21"/>
      <c r="D1695" s="16"/>
      <c r="E1695" s="16"/>
      <c r="F1695" s="22"/>
      <c r="G1695" s="21"/>
      <c r="H1695" s="16"/>
      <c r="I1695" s="16"/>
    </row>
    <row r="1696" spans="1:9" ht="12.75">
      <c r="A1696" s="23" t="s">
        <v>0</v>
      </c>
      <c r="B1696" s="23" t="s">
        <v>1</v>
      </c>
      <c r="C1696" s="18" t="s">
        <v>74</v>
      </c>
      <c r="D1696" s="18" t="s">
        <v>73</v>
      </c>
      <c r="E1696" s="18" t="s">
        <v>3</v>
      </c>
      <c r="F1696" s="18" t="s">
        <v>5</v>
      </c>
      <c r="G1696" s="18" t="s">
        <v>6</v>
      </c>
      <c r="H1696" s="18" t="s">
        <v>7</v>
      </c>
      <c r="I1696" s="18" t="s">
        <v>8</v>
      </c>
    </row>
    <row r="1697" spans="1:9" ht="12.75">
      <c r="A1697" s="23" t="s">
        <v>282</v>
      </c>
      <c r="B1697" s="23" t="s">
        <v>283</v>
      </c>
      <c r="C1697" s="24">
        <f>(4/3)^2*E1697</f>
        <v>54.346666666666664</v>
      </c>
      <c r="D1697" s="18">
        <v>46.62</v>
      </c>
      <c r="E1697" s="18">
        <v>30.57</v>
      </c>
      <c r="F1697" s="25">
        <f>-((D1697-C1697)/D1697)</f>
        <v>0.16573716573716574</v>
      </c>
      <c r="G1697" s="24">
        <f>C1697-D1697</f>
        <v>7.726666666666667</v>
      </c>
      <c r="H1697" s="18">
        <v>760</v>
      </c>
      <c r="I1697" s="18" t="s">
        <v>276</v>
      </c>
    </row>
    <row r="1698" spans="1:9" ht="12.75">
      <c r="A1698" s="5"/>
      <c r="B1698" s="23" t="s">
        <v>284</v>
      </c>
      <c r="C1698" s="24">
        <f>(4/3)^2*E1698</f>
        <v>51.05777777777777</v>
      </c>
      <c r="D1698" s="18">
        <v>44.29</v>
      </c>
      <c r="E1698" s="18">
        <v>28.72</v>
      </c>
      <c r="F1698" s="25">
        <f>-((D1698-C1698)/D1698)</f>
        <v>0.15280600085296395</v>
      </c>
      <c r="G1698" s="24">
        <f>C1698-D1698</f>
        <v>6.7677777777777735</v>
      </c>
      <c r="H1698" s="18">
        <v>760</v>
      </c>
      <c r="I1698" s="18" t="s">
        <v>276</v>
      </c>
    </row>
    <row r="1699" spans="1:9" ht="12.75">
      <c r="A1699" s="5"/>
      <c r="B1699" s="23" t="s">
        <v>285</v>
      </c>
      <c r="C1699" s="24">
        <f>(4/3)^2*E1699</f>
        <v>54.29333333333333</v>
      </c>
      <c r="D1699" s="18">
        <v>47.24</v>
      </c>
      <c r="E1699" s="18">
        <v>30.54</v>
      </c>
      <c r="F1699" s="25">
        <f>-((D1699-C1699)/D1699)</f>
        <v>0.14930849562517629</v>
      </c>
      <c r="G1699" s="24">
        <f>C1699-D1699</f>
        <v>7.0533333333333275</v>
      </c>
      <c r="H1699" s="18">
        <v>760</v>
      </c>
      <c r="I1699" s="18" t="s">
        <v>276</v>
      </c>
    </row>
    <row r="1700" spans="1:9" ht="12.75">
      <c r="A1700" s="5"/>
      <c r="B1700" s="23" t="s">
        <v>243</v>
      </c>
      <c r="C1700" s="24">
        <f>(4/3)^2*E1700</f>
        <v>39.964444444444446</v>
      </c>
      <c r="D1700" s="18">
        <v>35.12</v>
      </c>
      <c r="E1700" s="18">
        <v>22.48</v>
      </c>
      <c r="F1700" s="25">
        <f>-((D1700-C1700)/D1700)</f>
        <v>0.1379397620855481</v>
      </c>
      <c r="G1700" s="24">
        <f>C1700-D1700</f>
        <v>4.8444444444444485</v>
      </c>
      <c r="H1700" s="18">
        <v>760</v>
      </c>
      <c r="I1700" s="18" t="s">
        <v>276</v>
      </c>
    </row>
    <row r="1701" spans="1:9" ht="12.75">
      <c r="A1701" s="5"/>
      <c r="B1701" s="23" t="s">
        <v>286</v>
      </c>
      <c r="C1701" s="24">
        <f>(4/3)^2*E1701</f>
        <v>46.15111111111111</v>
      </c>
      <c r="D1701" s="18">
        <v>40.58</v>
      </c>
      <c r="E1701" s="18">
        <v>25.96</v>
      </c>
      <c r="F1701" s="25">
        <f>-((D1701-C1701)/D1701)</f>
        <v>0.13728711461584808</v>
      </c>
      <c r="G1701" s="24">
        <f>C1701-D1701</f>
        <v>5.571111111111115</v>
      </c>
      <c r="H1701" s="18">
        <v>760</v>
      </c>
      <c r="I1701" s="18" t="s">
        <v>276</v>
      </c>
    </row>
    <row r="1702" spans="1:9" ht="12.75">
      <c r="A1702" s="5"/>
      <c r="B1702" s="23" t="s">
        <v>242</v>
      </c>
      <c r="C1702" s="24">
        <f>(4/3)^2*E1702</f>
        <v>39.07555555555555</v>
      </c>
      <c r="D1702" s="18">
        <v>34.88</v>
      </c>
      <c r="E1702" s="18">
        <v>21.98</v>
      </c>
      <c r="F1702" s="25">
        <f>-((D1702-C1702)/D1702)</f>
        <v>0.12028542303771647</v>
      </c>
      <c r="G1702" s="24">
        <f>C1702-D1702</f>
        <v>4.195555555555551</v>
      </c>
      <c r="H1702" s="18">
        <v>760</v>
      </c>
      <c r="I1702" s="18" t="s">
        <v>276</v>
      </c>
    </row>
    <row r="1703" spans="1:9" ht="12.75">
      <c r="A1703" s="5"/>
      <c r="B1703" s="23" t="s">
        <v>287</v>
      </c>
      <c r="C1703" s="24">
        <f>(4/3)^2*E1703</f>
        <v>44.906666666666666</v>
      </c>
      <c r="D1703" s="18">
        <v>40.16</v>
      </c>
      <c r="E1703" s="18">
        <v>25.26</v>
      </c>
      <c r="F1703" s="25">
        <f>-((D1703-C1703)/D1703)</f>
        <v>0.11819389110225773</v>
      </c>
      <c r="G1703" s="24">
        <f>C1703-D1703</f>
        <v>4.74666666666667</v>
      </c>
      <c r="H1703" s="18">
        <v>760</v>
      </c>
      <c r="I1703" s="18" t="s">
        <v>276</v>
      </c>
    </row>
    <row r="1704" spans="1:9" ht="12.75">
      <c r="A1704" s="5"/>
      <c r="B1704" s="23" t="s">
        <v>288</v>
      </c>
      <c r="C1704" s="24">
        <f>(4/3)^2*E1704</f>
        <v>42.20444444444444</v>
      </c>
      <c r="D1704" s="18">
        <v>38.11</v>
      </c>
      <c r="E1704" s="18">
        <v>23.74</v>
      </c>
      <c r="F1704" s="25">
        <f>-((D1704-C1704)/D1704)</f>
        <v>0.10743753462200056</v>
      </c>
      <c r="G1704" s="24">
        <f>C1704-D1704</f>
        <v>4.0944444444444414</v>
      </c>
      <c r="H1704" s="18">
        <v>760</v>
      </c>
      <c r="I1704" s="18" t="s">
        <v>276</v>
      </c>
    </row>
    <row r="1705" spans="1:9" ht="12.75">
      <c r="A1705" s="5"/>
      <c r="B1705" s="23" t="s">
        <v>244</v>
      </c>
      <c r="C1705" s="24">
        <f>(4/3)^2*E1705</f>
        <v>33.51111111111111</v>
      </c>
      <c r="D1705" s="18">
        <v>30.46</v>
      </c>
      <c r="E1705" s="18">
        <v>18.85</v>
      </c>
      <c r="F1705" s="25">
        <f>-((D1705-C1705)/D1705)</f>
        <v>0.10016779747574235</v>
      </c>
      <c r="G1705" s="24">
        <f>C1705-D1705</f>
        <v>3.051111111111112</v>
      </c>
      <c r="H1705" s="18">
        <v>760</v>
      </c>
      <c r="I1705" s="18" t="s">
        <v>276</v>
      </c>
    </row>
    <row r="1706" spans="1:9" ht="12.75">
      <c r="A1706" s="5"/>
      <c r="B1706" s="23" t="s">
        <v>289</v>
      </c>
      <c r="C1706" s="24">
        <f>(4/3)^2*E1706</f>
        <v>41.635555555555555</v>
      </c>
      <c r="D1706" s="18">
        <v>38.07</v>
      </c>
      <c r="E1706" s="18">
        <v>23.42</v>
      </c>
      <c r="F1706" s="25">
        <f>-((D1706-C1706)/D1706)</f>
        <v>0.09365788167994629</v>
      </c>
      <c r="G1706" s="24">
        <f>C1706-D1706</f>
        <v>3.565555555555555</v>
      </c>
      <c r="H1706" s="18">
        <v>760</v>
      </c>
      <c r="I1706" s="18" t="s">
        <v>276</v>
      </c>
    </row>
    <row r="1707" spans="1:9" ht="12.75">
      <c r="A1707" s="5"/>
      <c r="B1707" s="23" t="s">
        <v>148</v>
      </c>
      <c r="C1707" s="24">
        <f>(4/3)^2*E1707</f>
        <v>30.13333333333333</v>
      </c>
      <c r="D1707" s="18">
        <v>28.36</v>
      </c>
      <c r="E1707" s="18">
        <v>16.95</v>
      </c>
      <c r="F1707" s="25">
        <f>-((D1707-C1707)/D1707)</f>
        <v>0.06252938410907369</v>
      </c>
      <c r="G1707" s="24">
        <f>C1707-D1707</f>
        <v>1.7733333333333299</v>
      </c>
      <c r="H1707" s="18">
        <v>760</v>
      </c>
      <c r="I1707" s="18" t="s">
        <v>276</v>
      </c>
    </row>
    <row r="1708" spans="1:9" ht="12.75">
      <c r="A1708" s="5"/>
      <c r="B1708" s="23"/>
      <c r="C1708" s="24"/>
      <c r="D1708" s="18"/>
      <c r="E1708" s="18" t="s">
        <v>14</v>
      </c>
      <c r="F1708" s="25">
        <f>AVERAGE(F1697:F1707)</f>
        <v>0.12230458644940359</v>
      </c>
      <c r="G1708" s="24">
        <f>AVERAGE(G1697:G1707)</f>
        <v>4.853636363636363</v>
      </c>
      <c r="H1708" s="18"/>
      <c r="I1708" s="18"/>
    </row>
    <row r="1709" spans="3:9" ht="12.75">
      <c r="C1709" s="21"/>
      <c r="I1709" s="74"/>
    </row>
    <row r="1710" spans="1:9" ht="12.75">
      <c r="A1710" s="69" t="s">
        <v>0</v>
      </c>
      <c r="B1710" s="69" t="s">
        <v>1</v>
      </c>
      <c r="C1710" s="70" t="s">
        <v>290</v>
      </c>
      <c r="D1710" s="70" t="s">
        <v>218</v>
      </c>
      <c r="E1710" s="70" t="s">
        <v>73</v>
      </c>
      <c r="F1710" s="70" t="s">
        <v>5</v>
      </c>
      <c r="G1710" s="70" t="s">
        <v>6</v>
      </c>
      <c r="H1710" s="70" t="s">
        <v>7</v>
      </c>
      <c r="I1710" s="70" t="s">
        <v>8</v>
      </c>
    </row>
    <row r="1711" spans="1:9" ht="12.75">
      <c r="A1711" s="69" t="s">
        <v>282</v>
      </c>
      <c r="B1711" s="69" t="s">
        <v>101</v>
      </c>
      <c r="C1711" s="71">
        <f>(5/4)^1.69*E1711</f>
        <v>42.48811554066363</v>
      </c>
      <c r="D1711" s="70">
        <v>41.52</v>
      </c>
      <c r="E1711" s="70">
        <v>29.14</v>
      </c>
      <c r="F1711" s="72">
        <f>-((D1711-C1711)/D1711)</f>
        <v>0.023316848281879216</v>
      </c>
      <c r="G1711" s="71">
        <f>C1711-D1711</f>
        <v>0.968115540663625</v>
      </c>
      <c r="H1711" s="70">
        <v>760</v>
      </c>
      <c r="I1711" s="70" t="s">
        <v>276</v>
      </c>
    </row>
    <row r="1712" spans="1:9" ht="12.75">
      <c r="A1712" s="73"/>
      <c r="B1712" s="69" t="s">
        <v>107</v>
      </c>
      <c r="C1712" s="71">
        <f>(5/4)^1.69*E1712</f>
        <v>33.78344670820784</v>
      </c>
      <c r="D1712" s="70">
        <v>33.05</v>
      </c>
      <c r="E1712" s="70">
        <v>23.17</v>
      </c>
      <c r="F1712" s="72">
        <f>-((D1712-C1712)/D1712)</f>
        <v>0.022192033531250936</v>
      </c>
      <c r="G1712" s="71">
        <f>C1712-D1712</f>
        <v>0.7334467082078433</v>
      </c>
      <c r="H1712" s="70">
        <v>760</v>
      </c>
      <c r="I1712" s="70" t="s">
        <v>276</v>
      </c>
    </row>
    <row r="1713" spans="2:9" ht="12.75">
      <c r="B1713" s="69" t="s">
        <v>244</v>
      </c>
      <c r="C1713" s="71">
        <f>(5/4)^1.69*E1713</f>
        <v>44.41276593577948</v>
      </c>
      <c r="D1713" s="70">
        <v>43.69</v>
      </c>
      <c r="E1713" s="70">
        <v>30.46</v>
      </c>
      <c r="F1713" s="72">
        <f>-((D1713-C1713)/D1713)</f>
        <v>0.01654305186036816</v>
      </c>
      <c r="G1713" s="71">
        <f>C1713-D1713</f>
        <v>0.7227659357794849</v>
      </c>
      <c r="H1713" s="70">
        <v>760</v>
      </c>
      <c r="I1713" s="70" t="s">
        <v>276</v>
      </c>
    </row>
    <row r="1714" spans="2:9" ht="12.75">
      <c r="B1714" s="69" t="s">
        <v>96</v>
      </c>
      <c r="C1714" s="71">
        <f>(5/4)^1.69*E1714</f>
        <v>32.52950781442023</v>
      </c>
      <c r="D1714" s="70">
        <v>32.16</v>
      </c>
      <c r="E1714" s="70">
        <v>22.31</v>
      </c>
      <c r="F1714" s="72">
        <f>-((D1714-C1714)/D1714)</f>
        <v>0.011489670846400228</v>
      </c>
      <c r="G1714" s="71">
        <f>C1714-D1714</f>
        <v>0.3695078144202313</v>
      </c>
      <c r="H1714" s="70">
        <v>760</v>
      </c>
      <c r="I1714" s="70" t="s">
        <v>276</v>
      </c>
    </row>
    <row r="1715" spans="2:9" ht="12.75">
      <c r="B1715" s="69" t="s">
        <v>97</v>
      </c>
      <c r="C1715" s="71">
        <f>(5/4)^1.69*E1715</f>
        <v>37.92436119466922</v>
      </c>
      <c r="D1715" s="70">
        <v>37.7</v>
      </c>
      <c r="E1715" s="70">
        <v>26.01</v>
      </c>
      <c r="F1715" s="72">
        <f>-((D1715-C1715)/D1715)</f>
        <v>0.0059512253227908245</v>
      </c>
      <c r="G1715" s="71">
        <f>C1715-D1715</f>
        <v>0.22436119466921411</v>
      </c>
      <c r="H1715" s="70">
        <v>760</v>
      </c>
      <c r="I1715" s="70" t="s">
        <v>276</v>
      </c>
    </row>
    <row r="1716" spans="2:9" ht="12.75">
      <c r="B1716" s="69" t="s">
        <v>148</v>
      </c>
      <c r="C1716" s="71">
        <f>(5/4)^1.69*E1716</f>
        <v>41.3508221253679</v>
      </c>
      <c r="D1716" s="70">
        <v>41.32</v>
      </c>
      <c r="E1716" s="70">
        <v>28.36</v>
      </c>
      <c r="F1716" s="72">
        <f>-((D1716-C1716)/D1716)</f>
        <v>0.0007459372063866885</v>
      </c>
      <c r="G1716" s="71">
        <f>C1716-D1716</f>
        <v>0.030822125367897968</v>
      </c>
      <c r="H1716" s="70">
        <v>760</v>
      </c>
      <c r="I1716" s="70" t="s">
        <v>276</v>
      </c>
    </row>
    <row r="1717" spans="2:9" ht="12.75">
      <c r="B1717" s="69" t="s">
        <v>103</v>
      </c>
      <c r="C1717" s="71">
        <f>(5/4)^1.69*E1717</f>
        <v>29.350918525516775</v>
      </c>
      <c r="D1717" s="70">
        <v>29.35</v>
      </c>
      <c r="E1717" s="70">
        <v>20.13</v>
      </c>
      <c r="F1717" s="72">
        <f>-((D1717-C1717)/D1717)</f>
        <v>3.129558830574539E-05</v>
      </c>
      <c r="G1717" s="71">
        <f>C1717-D1717</f>
        <v>0.0009185255167736273</v>
      </c>
      <c r="H1717" s="70">
        <v>760</v>
      </c>
      <c r="I1717" s="70" t="s">
        <v>276</v>
      </c>
    </row>
    <row r="1718" spans="2:9" ht="12.75">
      <c r="B1718" s="69" t="s">
        <v>122</v>
      </c>
      <c r="C1718" s="71">
        <f>(5/4)^1.69*E1718</f>
        <v>40.913401581023386</v>
      </c>
      <c r="D1718" s="70">
        <v>41.05</v>
      </c>
      <c r="E1718" s="70">
        <v>28.06</v>
      </c>
      <c r="F1718" s="72">
        <f>-((D1718-C1718)/D1718)</f>
        <v>-0.003327610693705505</v>
      </c>
      <c r="G1718" s="71">
        <f>C1718-D1718</f>
        <v>-0.13659841897661096</v>
      </c>
      <c r="H1718" s="70">
        <v>760</v>
      </c>
      <c r="I1718" s="70" t="s">
        <v>276</v>
      </c>
    </row>
    <row r="1719" spans="2:9" ht="12.75">
      <c r="B1719" s="69" t="s">
        <v>98</v>
      </c>
      <c r="C1719" s="71">
        <f>(5/4)^1.69*E1719</f>
        <v>32.252474803002045</v>
      </c>
      <c r="D1719" s="70">
        <v>32.55</v>
      </c>
      <c r="E1719" s="70">
        <v>22.12</v>
      </c>
      <c r="F1719" s="72">
        <f>-((D1719-C1719)/D1719)</f>
        <v>-0.009140559047556143</v>
      </c>
      <c r="G1719" s="71">
        <f>C1719-D1719</f>
        <v>-0.29752519699795243</v>
      </c>
      <c r="H1719" s="70">
        <v>760</v>
      </c>
      <c r="I1719" s="70" t="s">
        <v>276</v>
      </c>
    </row>
    <row r="1720" spans="2:9" ht="12.75">
      <c r="B1720" s="69" t="s">
        <v>83</v>
      </c>
      <c r="C1720" s="71">
        <f>(5/4)^1.69*E1720</f>
        <v>28.403174012770332</v>
      </c>
      <c r="D1720" s="70">
        <v>29.89</v>
      </c>
      <c r="E1720" s="70">
        <v>19.48</v>
      </c>
      <c r="F1720" s="72">
        <f>-((D1720-C1720)/D1720)</f>
        <v>-0.049743258187677095</v>
      </c>
      <c r="G1720" s="71">
        <f>C1720-D1720</f>
        <v>-1.4868259872296683</v>
      </c>
      <c r="H1720" s="70">
        <v>760</v>
      </c>
      <c r="I1720" s="70" t="s">
        <v>276</v>
      </c>
    </row>
    <row r="1721" spans="2:9" ht="12.75">
      <c r="B1721" s="69"/>
      <c r="C1721" s="71"/>
      <c r="D1721" s="70"/>
      <c r="E1721" s="70" t="s">
        <v>14</v>
      </c>
      <c r="F1721" s="72">
        <f>AVERAGE(F1711:F1720)</f>
        <v>0.0018058634708443058</v>
      </c>
      <c r="G1721" s="71">
        <f>AVERAGE(G1711:G1720)</f>
        <v>0.11289882414208385</v>
      </c>
      <c r="H1721" s="70"/>
      <c r="I1721" s="70"/>
    </row>
    <row r="1722" spans="2:9" ht="12.75">
      <c r="B1722" s="69"/>
      <c r="C1722" s="71"/>
      <c r="D1722" s="70"/>
      <c r="E1722" s="70"/>
      <c r="F1722" s="72"/>
      <c r="G1722" s="71"/>
      <c r="H1722" s="70"/>
      <c r="I1722" s="70"/>
    </row>
    <row r="1723" spans="1:9" ht="12.75">
      <c r="A1723" s="73" t="s">
        <v>0</v>
      </c>
      <c r="B1723" s="73" t="s">
        <v>1</v>
      </c>
      <c r="C1723" s="74" t="s">
        <v>219</v>
      </c>
      <c r="D1723" s="74" t="s">
        <v>218</v>
      </c>
      <c r="E1723" s="74" t="s">
        <v>73</v>
      </c>
      <c r="F1723" s="74" t="s">
        <v>5</v>
      </c>
      <c r="G1723" s="74" t="s">
        <v>6</v>
      </c>
      <c r="H1723" s="74" t="s">
        <v>7</v>
      </c>
      <c r="I1723" s="74" t="s">
        <v>8</v>
      </c>
    </row>
    <row r="1724" spans="1:9" ht="12.75">
      <c r="A1724" s="73" t="s">
        <v>282</v>
      </c>
      <c r="B1724" s="73" t="s">
        <v>101</v>
      </c>
      <c r="C1724" s="75">
        <f>(5/4)^2*E1724</f>
        <v>45.53125</v>
      </c>
      <c r="D1724" s="74">
        <v>41.52</v>
      </c>
      <c r="E1724" s="74">
        <v>29.14</v>
      </c>
      <c r="F1724" s="76">
        <f>-((D1724-C1724)/D1724)</f>
        <v>0.09661006743737949</v>
      </c>
      <c r="G1724" s="75">
        <f>C1724-D1724</f>
        <v>4.011249999999997</v>
      </c>
      <c r="H1724" s="74">
        <v>760</v>
      </c>
      <c r="I1724" s="74" t="s">
        <v>276</v>
      </c>
    </row>
    <row r="1725" spans="1:9" ht="12.75">
      <c r="A1725" s="73"/>
      <c r="B1725" s="73" t="s">
        <v>107</v>
      </c>
      <c r="C1725" s="75">
        <f>(5/4)^2*E1725</f>
        <v>36.203125</v>
      </c>
      <c r="D1725" s="74">
        <v>33.05</v>
      </c>
      <c r="E1725" s="74">
        <v>23.17</v>
      </c>
      <c r="F1725" s="76">
        <f>-((D1725-C1725)/D1725)</f>
        <v>0.09540468986384276</v>
      </c>
      <c r="G1725" s="75">
        <f>C1725-D1725</f>
        <v>3.153125000000003</v>
      </c>
      <c r="H1725" s="74">
        <v>760</v>
      </c>
      <c r="I1725" s="74" t="s">
        <v>276</v>
      </c>
    </row>
    <row r="1726" spans="1:9" ht="12.75">
      <c r="A1726" s="5"/>
      <c r="B1726" s="73" t="s">
        <v>244</v>
      </c>
      <c r="C1726" s="75">
        <f>(5/4)^2*E1726</f>
        <v>47.59375</v>
      </c>
      <c r="D1726" s="74">
        <v>43.69</v>
      </c>
      <c r="E1726" s="74">
        <v>30.46</v>
      </c>
      <c r="F1726" s="76">
        <f>-((D1726-C1726)/D1726)</f>
        <v>0.08935111009384304</v>
      </c>
      <c r="G1726" s="75">
        <f>C1726-D1726</f>
        <v>3.9037500000000023</v>
      </c>
      <c r="H1726" s="74">
        <v>760</v>
      </c>
      <c r="I1726" s="74" t="s">
        <v>276</v>
      </c>
    </row>
    <row r="1727" spans="1:9" ht="12.75">
      <c r="A1727" s="5"/>
      <c r="B1727" s="73" t="s">
        <v>96</v>
      </c>
      <c r="C1727" s="75">
        <f>(5/4)^2*E1727</f>
        <v>34.859375</v>
      </c>
      <c r="D1727" s="74">
        <v>32.16</v>
      </c>
      <c r="E1727" s="74">
        <v>22.31</v>
      </c>
      <c r="F1727" s="76">
        <f>-((D1727-C1727)/D1727)</f>
        <v>0.08393578980099514</v>
      </c>
      <c r="G1727" s="75">
        <f>C1727-D1727</f>
        <v>2.6993750000000034</v>
      </c>
      <c r="H1727" s="74">
        <v>760</v>
      </c>
      <c r="I1727" s="74" t="s">
        <v>276</v>
      </c>
    </row>
    <row r="1728" spans="1:9" ht="12.75">
      <c r="A1728" s="5"/>
      <c r="B1728" s="73" t="s">
        <v>97</v>
      </c>
      <c r="C1728" s="75">
        <f>(5/4)^2*E1728</f>
        <v>40.640625</v>
      </c>
      <c r="D1728" s="74">
        <v>37.7</v>
      </c>
      <c r="E1728" s="74">
        <v>26.01</v>
      </c>
      <c r="F1728" s="76">
        <f>-((D1728-C1728)/D1728)</f>
        <v>0.07800066312997339</v>
      </c>
      <c r="G1728" s="75">
        <f>C1728-D1728</f>
        <v>2.940624999999997</v>
      </c>
      <c r="H1728" s="74">
        <v>760</v>
      </c>
      <c r="I1728" s="74" t="s">
        <v>276</v>
      </c>
    </row>
    <row r="1729" spans="1:9" ht="12.75">
      <c r="A1729" s="5"/>
      <c r="B1729" s="73" t="s">
        <v>148</v>
      </c>
      <c r="C1729" s="75">
        <f>(5/4)^2*E1729</f>
        <v>44.3125</v>
      </c>
      <c r="D1729" s="74">
        <v>41.32</v>
      </c>
      <c r="E1729" s="74">
        <v>28.36</v>
      </c>
      <c r="F1729" s="76">
        <f>-((D1729-C1729)/D1729)</f>
        <v>0.07242255566311713</v>
      </c>
      <c r="G1729" s="75">
        <f>C1729-D1729</f>
        <v>2.9924999999999997</v>
      </c>
      <c r="H1729" s="74">
        <v>760</v>
      </c>
      <c r="I1729" s="74" t="s">
        <v>276</v>
      </c>
    </row>
    <row r="1730" spans="1:9" ht="12.75">
      <c r="A1730" s="5"/>
      <c r="B1730" s="73" t="s">
        <v>103</v>
      </c>
      <c r="C1730" s="75">
        <f>(5/4)^2*E1730</f>
        <v>31.453125</v>
      </c>
      <c r="D1730" s="74">
        <v>29.35</v>
      </c>
      <c r="E1730" s="74">
        <v>20.13</v>
      </c>
      <c r="F1730" s="76">
        <f>-((D1730-C1730)/D1730)</f>
        <v>0.07165672913117542</v>
      </c>
      <c r="G1730" s="75">
        <f>C1730-D1730</f>
        <v>2.1031249999999986</v>
      </c>
      <c r="H1730" s="74">
        <v>760</v>
      </c>
      <c r="I1730" s="74" t="s">
        <v>276</v>
      </c>
    </row>
    <row r="1731" spans="1:9" ht="12.75">
      <c r="A1731" s="5"/>
      <c r="B1731" s="73" t="s">
        <v>122</v>
      </c>
      <c r="C1731" s="75">
        <f>(5/4)^2*E1731</f>
        <v>43.84375</v>
      </c>
      <c r="D1731" s="74">
        <v>41.05</v>
      </c>
      <c r="E1731" s="74">
        <v>28.06</v>
      </c>
      <c r="F1731" s="76">
        <f>-((D1731-C1731)/D1731)</f>
        <v>0.06805724725943978</v>
      </c>
      <c r="G1731" s="75">
        <f>C1731-D1731</f>
        <v>2.793750000000003</v>
      </c>
      <c r="H1731" s="74">
        <v>760</v>
      </c>
      <c r="I1731" s="74" t="s">
        <v>276</v>
      </c>
    </row>
    <row r="1732" spans="1:9" ht="12.75">
      <c r="A1732" s="5"/>
      <c r="B1732" s="73" t="s">
        <v>98</v>
      </c>
      <c r="C1732" s="75">
        <f>(5/4)^2*E1732</f>
        <v>34.5625</v>
      </c>
      <c r="D1732" s="74">
        <v>32.55</v>
      </c>
      <c r="E1732" s="74">
        <v>22.12</v>
      </c>
      <c r="F1732" s="76">
        <f>-((D1732-C1732)/D1732)</f>
        <v>0.0618279569892474</v>
      </c>
      <c r="G1732" s="75">
        <f>C1732-D1732</f>
        <v>2.012500000000003</v>
      </c>
      <c r="H1732" s="74">
        <v>760</v>
      </c>
      <c r="I1732" s="74" t="s">
        <v>276</v>
      </c>
    </row>
    <row r="1733" spans="1:9" ht="12.75">
      <c r="A1733" s="5"/>
      <c r="B1733" s="73" t="s">
        <v>83</v>
      </c>
      <c r="C1733" s="75">
        <f>(5/4)^2*E1733</f>
        <v>30.4375</v>
      </c>
      <c r="D1733" s="74">
        <v>29.89</v>
      </c>
      <c r="E1733" s="74">
        <v>19.48</v>
      </c>
      <c r="F1733" s="76">
        <f>-((D1733-C1733)/D1733)</f>
        <v>0.01831716293074605</v>
      </c>
      <c r="G1733" s="75">
        <f>C1733-D1733</f>
        <v>0.5474999999999994</v>
      </c>
      <c r="H1733" s="74">
        <v>760</v>
      </c>
      <c r="I1733" s="74" t="s">
        <v>276</v>
      </c>
    </row>
    <row r="1734" spans="1:9" ht="12.75">
      <c r="A1734" s="5"/>
      <c r="B1734" s="73"/>
      <c r="C1734" s="75"/>
      <c r="D1734" s="74"/>
      <c r="E1734" s="74" t="s">
        <v>14</v>
      </c>
      <c r="F1734" s="76">
        <f>AVERAGE(F1724:F1733)</f>
        <v>0.07355839722997595</v>
      </c>
      <c r="G1734" s="75">
        <f>AVERAGE(G1724:G1733)</f>
        <v>2.7157500000000008</v>
      </c>
      <c r="H1734" s="74"/>
      <c r="I1734" s="74"/>
    </row>
    <row r="1735" spans="3:9" ht="12.75">
      <c r="C1735" s="71"/>
      <c r="I1735" s="74"/>
    </row>
    <row r="1736" spans="1:9" ht="12.75">
      <c r="A1736" s="79" t="s">
        <v>0</v>
      </c>
      <c r="B1736" s="79" t="s">
        <v>1</v>
      </c>
      <c r="C1736" s="80" t="s">
        <v>291</v>
      </c>
      <c r="D1736" s="80" t="s">
        <v>194</v>
      </c>
      <c r="E1736" s="80" t="s">
        <v>218</v>
      </c>
      <c r="F1736" s="80" t="s">
        <v>5</v>
      </c>
      <c r="G1736" s="80" t="s">
        <v>6</v>
      </c>
      <c r="H1736" s="80" t="s">
        <v>7</v>
      </c>
      <c r="I1736" s="80" t="s">
        <v>8</v>
      </c>
    </row>
    <row r="1737" spans="1:9" ht="12.75">
      <c r="A1737" s="79" t="s">
        <v>282</v>
      </c>
      <c r="B1737" s="79" t="s">
        <v>96</v>
      </c>
      <c r="C1737" s="81">
        <f>(6/5)^1.79*E1737</f>
        <v>44.57080422893653</v>
      </c>
      <c r="D1737" s="80">
        <v>43.04</v>
      </c>
      <c r="E1737" s="80">
        <v>32.16</v>
      </c>
      <c r="F1737" s="82">
        <f>-((D1737-C1737)/D1737)</f>
        <v>0.035567012754101575</v>
      </c>
      <c r="G1737" s="81">
        <f>C1737-D1737</f>
        <v>1.5308042289365318</v>
      </c>
      <c r="H1737" s="80">
        <v>760</v>
      </c>
      <c r="I1737" s="80" t="s">
        <v>276</v>
      </c>
    </row>
    <row r="1738" spans="1:9" ht="12.75">
      <c r="A1738" s="83"/>
      <c r="B1738" s="79" t="s">
        <v>107</v>
      </c>
      <c r="C1738" s="81">
        <f>(6/5)^1.79*E1738</f>
        <v>45.80426243054578</v>
      </c>
      <c r="D1738" s="80">
        <v>44.63</v>
      </c>
      <c r="E1738" s="80">
        <v>33.05</v>
      </c>
      <c r="F1738" s="82">
        <f>-((D1738-C1738)/D1738)</f>
        <v>0.02631105602836166</v>
      </c>
      <c r="G1738" s="81">
        <f>C1738-D1738</f>
        <v>1.174262430545781</v>
      </c>
      <c r="H1738" s="80">
        <v>760</v>
      </c>
      <c r="I1738" s="80" t="s">
        <v>276</v>
      </c>
    </row>
    <row r="1739" spans="2:9" ht="12.75">
      <c r="B1739" s="79" t="s">
        <v>83</v>
      </c>
      <c r="C1739" s="81">
        <f>(6/5)^1.79*E1739</f>
        <v>41.4247928607871</v>
      </c>
      <c r="D1739" s="80">
        <v>40.91</v>
      </c>
      <c r="E1739" s="80">
        <v>29.89</v>
      </c>
      <c r="F1739" s="82">
        <f>-((D1739-C1739)/D1739)</f>
        <v>0.012583545851554724</v>
      </c>
      <c r="G1739" s="81">
        <f>C1739-D1739</f>
        <v>0.5147928607871037</v>
      </c>
      <c r="H1739" s="80">
        <v>760</v>
      </c>
      <c r="I1739" s="80" t="s">
        <v>276</v>
      </c>
    </row>
    <row r="1740" spans="2:9" ht="12.75">
      <c r="B1740" s="79" t="s">
        <v>104</v>
      </c>
      <c r="C1740" s="81">
        <f>(6/5)^1.79*E1740</f>
        <v>35.59011979474783</v>
      </c>
      <c r="D1740" s="80">
        <v>35.29</v>
      </c>
      <c r="E1740" s="80">
        <v>25.68</v>
      </c>
      <c r="F1740" s="82">
        <f>-((D1740-C1740)/D1740)</f>
        <v>0.008504386362930827</v>
      </c>
      <c r="G1740" s="81">
        <f>C1740-D1740</f>
        <v>0.3001197947478289</v>
      </c>
      <c r="H1740" s="80">
        <v>760</v>
      </c>
      <c r="I1740" s="80" t="s">
        <v>276</v>
      </c>
    </row>
    <row r="1741" spans="2:9" ht="12.75">
      <c r="B1741" s="79" t="s">
        <v>98</v>
      </c>
      <c r="C1741" s="81">
        <f>(6/5)^1.79*E1741</f>
        <v>45.111308384697885</v>
      </c>
      <c r="D1741" s="80">
        <v>45</v>
      </c>
      <c r="E1741" s="80">
        <v>32.55</v>
      </c>
      <c r="F1741" s="82">
        <f>-((D1741-C1741)/D1741)</f>
        <v>0.0024735196599530063</v>
      </c>
      <c r="G1741" s="81">
        <f>C1741-D1741</f>
        <v>0.11130838469788529</v>
      </c>
      <c r="H1741" s="80">
        <v>760</v>
      </c>
      <c r="I1741" s="80" t="s">
        <v>276</v>
      </c>
    </row>
    <row r="1742" spans="2:9" ht="12.75">
      <c r="B1742" s="79" t="s">
        <v>103</v>
      </c>
      <c r="C1742" s="81">
        <f>(6/5)^1.79*E1742</f>
        <v>40.676402491271375</v>
      </c>
      <c r="D1742" s="80">
        <v>41.03</v>
      </c>
      <c r="E1742" s="80">
        <v>29.35</v>
      </c>
      <c r="F1742" s="82">
        <f>-((D1742-C1742)/D1742)</f>
        <v>-0.008618023610251671</v>
      </c>
      <c r="G1742" s="81">
        <f>C1742-D1742</f>
        <v>-0.35359750872862605</v>
      </c>
      <c r="H1742" s="80">
        <v>760</v>
      </c>
      <c r="I1742" s="80" t="s">
        <v>276</v>
      </c>
    </row>
    <row r="1743" spans="2:9" ht="12.75">
      <c r="B1743" s="79" t="s">
        <v>105</v>
      </c>
      <c r="C1743" s="81">
        <f>(6/5)^1.79*E1743</f>
        <v>33.206357877031074</v>
      </c>
      <c r="D1743" s="80">
        <v>33.89</v>
      </c>
      <c r="E1743" s="80">
        <v>23.96</v>
      </c>
      <c r="F1743" s="82">
        <f>-((D1743-C1743)/D1743)</f>
        <v>-0.02017238486187449</v>
      </c>
      <c r="G1743" s="81">
        <f>C1743-D1743</f>
        <v>-0.6836421229689265</v>
      </c>
      <c r="H1743" s="80">
        <v>760</v>
      </c>
      <c r="I1743" s="80" t="s">
        <v>276</v>
      </c>
    </row>
    <row r="1744" spans="2:9" ht="12.75">
      <c r="B1744" s="79" t="s">
        <v>84</v>
      </c>
      <c r="C1744" s="81">
        <f>(6/5)^1.79*E1744</f>
        <v>26.734167088811745</v>
      </c>
      <c r="D1744" s="80">
        <v>27.29</v>
      </c>
      <c r="E1744" s="80">
        <v>19.29</v>
      </c>
      <c r="F1744" s="82">
        <f>-((D1744-C1744)/D1744)</f>
        <v>-0.02036764057120756</v>
      </c>
      <c r="G1744" s="81">
        <f>C1744-D1744</f>
        <v>-0.5558329111882543</v>
      </c>
      <c r="H1744" s="80">
        <v>760</v>
      </c>
      <c r="I1744" s="80" t="s">
        <v>276</v>
      </c>
    </row>
    <row r="1745" spans="2:9" ht="12.75">
      <c r="B1745" s="79" t="s">
        <v>50</v>
      </c>
      <c r="C1745" s="81">
        <f>(6/5)^1.79*E1745</f>
        <v>33.09548522969541</v>
      </c>
      <c r="D1745" s="80">
        <v>33.8</v>
      </c>
      <c r="E1745" s="80">
        <v>23.88</v>
      </c>
      <c r="F1745" s="82">
        <f>-((D1745-C1745)/D1745)</f>
        <v>-0.02084363225753208</v>
      </c>
      <c r="G1745" s="81">
        <f>C1745-D1745</f>
        <v>-0.7045147703045842</v>
      </c>
      <c r="H1745" s="80">
        <v>760</v>
      </c>
      <c r="I1745" s="80" t="s">
        <v>276</v>
      </c>
    </row>
    <row r="1746" spans="1:9" ht="12.75">
      <c r="A1746" s="5"/>
      <c r="B1746" s="73"/>
      <c r="C1746" s="75"/>
      <c r="D1746" s="74"/>
      <c r="E1746" s="80" t="s">
        <v>14</v>
      </c>
      <c r="F1746" s="82">
        <f>AVERAGE(F1737:F1745)</f>
        <v>0.0017153154840039994</v>
      </c>
      <c r="G1746" s="81">
        <f>AVERAGE(G1737:G1745)</f>
        <v>0.14818893183608217</v>
      </c>
      <c r="H1746" s="74"/>
      <c r="I1746" s="74"/>
    </row>
    <row r="1747" spans="1:9" ht="12.75">
      <c r="A1747" s="5"/>
      <c r="B1747" s="73"/>
      <c r="C1747" s="75"/>
      <c r="D1747" s="74"/>
      <c r="E1747" s="80"/>
      <c r="F1747" s="82"/>
      <c r="G1747" s="81"/>
      <c r="H1747" s="74"/>
      <c r="I1747" s="74"/>
    </row>
    <row r="1748" spans="1:9" ht="12.75">
      <c r="A1748" s="83" t="s">
        <v>0</v>
      </c>
      <c r="B1748" s="83" t="s">
        <v>1</v>
      </c>
      <c r="C1748" s="84" t="s">
        <v>247</v>
      </c>
      <c r="D1748" s="84" t="s">
        <v>194</v>
      </c>
      <c r="E1748" s="84" t="s">
        <v>218</v>
      </c>
      <c r="F1748" s="84" t="s">
        <v>5</v>
      </c>
      <c r="G1748" s="84" t="s">
        <v>6</v>
      </c>
      <c r="H1748" s="84" t="s">
        <v>7</v>
      </c>
      <c r="I1748" s="84" t="s">
        <v>8</v>
      </c>
    </row>
    <row r="1749" spans="1:9" ht="12.75">
      <c r="A1749" s="83" t="s">
        <v>282</v>
      </c>
      <c r="B1749" s="83" t="s">
        <v>96</v>
      </c>
      <c r="C1749" s="85">
        <f>(6/5)^2*E1749</f>
        <v>46.310399999999994</v>
      </c>
      <c r="D1749" s="84">
        <v>43.04</v>
      </c>
      <c r="E1749" s="84">
        <v>32.16</v>
      </c>
      <c r="F1749" s="86">
        <f>-((D1749-C1749)/D1749)</f>
        <v>0.07598513011152405</v>
      </c>
      <c r="G1749" s="85">
        <f>C1749-D1749</f>
        <v>3.270399999999995</v>
      </c>
      <c r="H1749" s="84">
        <v>760</v>
      </c>
      <c r="I1749" s="84" t="s">
        <v>276</v>
      </c>
    </row>
    <row r="1750" spans="1:9" ht="12.75">
      <c r="A1750" s="83"/>
      <c r="B1750" s="83" t="s">
        <v>107</v>
      </c>
      <c r="C1750" s="85">
        <f>(6/5)^2*E1750</f>
        <v>47.59199999999999</v>
      </c>
      <c r="D1750" s="84">
        <v>44.63</v>
      </c>
      <c r="E1750" s="84">
        <v>33.05</v>
      </c>
      <c r="F1750" s="86">
        <f>-((D1750-C1750)/D1750)</f>
        <v>0.06636791395922001</v>
      </c>
      <c r="G1750" s="85">
        <f>C1750-D1750</f>
        <v>2.961999999999989</v>
      </c>
      <c r="H1750" s="84">
        <v>760</v>
      </c>
      <c r="I1750" s="84" t="s">
        <v>276</v>
      </c>
    </row>
    <row r="1751" spans="1:9" ht="12.75">
      <c r="A1751" s="5"/>
      <c r="B1751" s="83" t="s">
        <v>83</v>
      </c>
      <c r="C1751" s="85">
        <f>(6/5)^2*E1751</f>
        <v>43.0416</v>
      </c>
      <c r="D1751" s="84">
        <v>40.91</v>
      </c>
      <c r="E1751" s="84">
        <v>29.89</v>
      </c>
      <c r="F1751" s="86">
        <f>-((D1751-C1751)/D1751)</f>
        <v>0.052104619897335766</v>
      </c>
      <c r="G1751" s="85">
        <f>C1751-D1751</f>
        <v>2.131600000000006</v>
      </c>
      <c r="H1751" s="84">
        <v>760</v>
      </c>
      <c r="I1751" s="84" t="s">
        <v>276</v>
      </c>
    </row>
    <row r="1752" spans="1:9" ht="12.75">
      <c r="A1752" s="5"/>
      <c r="B1752" s="83" t="s">
        <v>104</v>
      </c>
      <c r="C1752" s="85">
        <f>(6/5)^2*E1752</f>
        <v>36.9792</v>
      </c>
      <c r="D1752" s="84">
        <v>35.29</v>
      </c>
      <c r="E1752" s="84">
        <v>25.68</v>
      </c>
      <c r="F1752" s="86">
        <f>-((D1752-C1752)/D1752)</f>
        <v>0.04786625106262396</v>
      </c>
      <c r="G1752" s="85">
        <f>C1752-D1752</f>
        <v>1.6891999999999996</v>
      </c>
      <c r="H1752" s="84">
        <v>760</v>
      </c>
      <c r="I1752" s="84" t="s">
        <v>276</v>
      </c>
    </row>
    <row r="1753" spans="1:9" ht="12.75">
      <c r="A1753" s="5"/>
      <c r="B1753" s="83" t="s">
        <v>98</v>
      </c>
      <c r="C1753" s="85">
        <f>(6/5)^2*E1753</f>
        <v>46.87199999999999</v>
      </c>
      <c r="D1753" s="84">
        <v>45</v>
      </c>
      <c r="E1753" s="84">
        <v>32.55</v>
      </c>
      <c r="F1753" s="86">
        <f>-((D1753-C1753)/D1753)</f>
        <v>0.04159999999999984</v>
      </c>
      <c r="G1753" s="85">
        <f>C1753-D1753</f>
        <v>1.8719999999999928</v>
      </c>
      <c r="H1753" s="84">
        <v>760</v>
      </c>
      <c r="I1753" s="84" t="s">
        <v>276</v>
      </c>
    </row>
    <row r="1754" spans="1:9" ht="12.75">
      <c r="A1754" s="5"/>
      <c r="B1754" s="83" t="s">
        <v>103</v>
      </c>
      <c r="C1754" s="85">
        <f>(6/5)^2*E1754</f>
        <v>42.264</v>
      </c>
      <c r="D1754" s="84">
        <v>41.03</v>
      </c>
      <c r="E1754" s="84">
        <v>29.35</v>
      </c>
      <c r="F1754" s="86">
        <f>-((D1754-C1754)/D1754)</f>
        <v>0.030075554472337358</v>
      </c>
      <c r="G1754" s="85">
        <f>C1754-D1754</f>
        <v>1.2340000000000018</v>
      </c>
      <c r="H1754" s="84">
        <v>760</v>
      </c>
      <c r="I1754" s="84" t="s">
        <v>276</v>
      </c>
    </row>
    <row r="1755" spans="1:9" ht="12.75">
      <c r="A1755" s="5"/>
      <c r="B1755" s="83" t="s">
        <v>105</v>
      </c>
      <c r="C1755" s="85">
        <f>(6/5)^2*E1755</f>
        <v>34.5024</v>
      </c>
      <c r="D1755" s="84">
        <v>33.89</v>
      </c>
      <c r="E1755" s="84">
        <v>23.96</v>
      </c>
      <c r="F1755" s="86">
        <f>-((D1755-C1755)/D1755)</f>
        <v>0.018070227205665416</v>
      </c>
      <c r="G1755" s="85">
        <f>C1755-D1755</f>
        <v>0.6124000000000009</v>
      </c>
      <c r="H1755" s="84">
        <v>760</v>
      </c>
      <c r="I1755" s="84" t="s">
        <v>276</v>
      </c>
    </row>
    <row r="1756" spans="1:9" ht="12.75">
      <c r="A1756" s="5"/>
      <c r="B1756" s="83" t="s">
        <v>84</v>
      </c>
      <c r="C1756" s="85">
        <f>(6/5)^2*E1756</f>
        <v>27.777599999999996</v>
      </c>
      <c r="D1756" s="84">
        <v>27.29</v>
      </c>
      <c r="E1756" s="84">
        <v>19.29</v>
      </c>
      <c r="F1756" s="86">
        <f>-((D1756-C1756)/D1756)</f>
        <v>0.017867350677903883</v>
      </c>
      <c r="G1756" s="85">
        <f>C1756-D1756</f>
        <v>0.4875999999999969</v>
      </c>
      <c r="H1756" s="84">
        <v>760</v>
      </c>
      <c r="I1756" s="84" t="s">
        <v>276</v>
      </c>
    </row>
    <row r="1757" spans="1:9" ht="12.75">
      <c r="A1757" s="5"/>
      <c r="B1757" s="83" t="s">
        <v>50</v>
      </c>
      <c r="C1757" s="85">
        <f>(6/5)^2*E1757</f>
        <v>34.3872</v>
      </c>
      <c r="D1757" s="84">
        <v>33.8</v>
      </c>
      <c r="E1757" s="84">
        <v>23.88</v>
      </c>
      <c r="F1757" s="86">
        <f>-((D1757-C1757)/D1757)</f>
        <v>0.01737278106508884</v>
      </c>
      <c r="G1757" s="85">
        <f>C1757-D1757</f>
        <v>0.5872000000000028</v>
      </c>
      <c r="H1757" s="84">
        <v>760</v>
      </c>
      <c r="I1757" s="84" t="s">
        <v>276</v>
      </c>
    </row>
    <row r="1758" spans="1:9" ht="12.75">
      <c r="A1758" s="5"/>
      <c r="B1758" s="73"/>
      <c r="C1758" s="75"/>
      <c r="D1758" s="74"/>
      <c r="E1758" s="84" t="s">
        <v>14</v>
      </c>
      <c r="F1758" s="86">
        <f>AVERAGE(F1749:F1757)</f>
        <v>0.0408122031612999</v>
      </c>
      <c r="G1758" s="85">
        <f>AVERAGE(G1749:G1757)</f>
        <v>1.6495999999999984</v>
      </c>
      <c r="H1758" s="74"/>
      <c r="I1758" s="74"/>
    </row>
    <row r="1759" spans="4:9" ht="12.75">
      <c r="D1759" s="6"/>
      <c r="E1759" s="6"/>
      <c r="F1759" s="6"/>
      <c r="G1759" s="6"/>
      <c r="H1759" s="6"/>
      <c r="I1759" s="74"/>
    </row>
    <row r="1760" spans="1:9" ht="12.75">
      <c r="A1760" s="20" t="s">
        <v>0</v>
      </c>
      <c r="B1760" s="20" t="s">
        <v>1</v>
      </c>
      <c r="C1760" s="16" t="s">
        <v>113</v>
      </c>
      <c r="D1760" s="16" t="s">
        <v>73</v>
      </c>
      <c r="E1760" s="16" t="s">
        <v>3</v>
      </c>
      <c r="F1760" s="16" t="s">
        <v>5</v>
      </c>
      <c r="G1760" s="16" t="s">
        <v>6</v>
      </c>
      <c r="H1760" s="16" t="s">
        <v>7</v>
      </c>
      <c r="I1760" s="16" t="s">
        <v>8</v>
      </c>
    </row>
    <row r="1761" spans="1:9" ht="12.75">
      <c r="A1761" s="20" t="s">
        <v>292</v>
      </c>
      <c r="B1761" s="20" t="s">
        <v>92</v>
      </c>
      <c r="C1761" s="21">
        <f>(4/3)^1.56*E1761</f>
        <v>59.272815475363174</v>
      </c>
      <c r="D1761" s="16">
        <v>56.48</v>
      </c>
      <c r="E1761" s="16">
        <v>37.84</v>
      </c>
      <c r="F1761" s="22">
        <f>-((D1761-C1761)/D1761)</f>
        <v>0.049447866065212065</v>
      </c>
      <c r="G1761" s="21">
        <f>C1761-D1761</f>
        <v>2.7928154753631773</v>
      </c>
      <c r="H1761" s="16">
        <v>1100</v>
      </c>
      <c r="I1761" s="16" t="s">
        <v>293</v>
      </c>
    </row>
    <row r="1762" spans="2:9" ht="12.75">
      <c r="B1762" s="20" t="s">
        <v>93</v>
      </c>
      <c r="C1762" s="21">
        <f>(4/3)^1.56*E1762</f>
        <v>42.543595885593646</v>
      </c>
      <c r="D1762" s="16">
        <v>40.77</v>
      </c>
      <c r="E1762" s="16">
        <v>27.16</v>
      </c>
      <c r="F1762" s="22">
        <f>-((D1762-C1762)/D1762)</f>
        <v>0.04350247450560812</v>
      </c>
      <c r="G1762" s="21">
        <f>C1762-D1762</f>
        <v>1.7735958855936431</v>
      </c>
      <c r="H1762" s="16">
        <v>1100</v>
      </c>
      <c r="I1762" s="16" t="s">
        <v>293</v>
      </c>
    </row>
    <row r="1763" spans="2:9" ht="12.75">
      <c r="B1763" s="20" t="s">
        <v>44</v>
      </c>
      <c r="C1763" s="21">
        <f>(4/3)^1.56*E1763</f>
        <v>46.929533605757946</v>
      </c>
      <c r="D1763" s="16">
        <v>45.31</v>
      </c>
      <c r="E1763" s="16">
        <v>29.96</v>
      </c>
      <c r="F1763" s="22">
        <f>-((D1763-C1763)/D1763)</f>
        <v>0.03574340334932562</v>
      </c>
      <c r="G1763" s="21">
        <f>C1763-D1763</f>
        <v>1.619533605757944</v>
      </c>
      <c r="H1763" s="16">
        <v>1100</v>
      </c>
      <c r="I1763" s="16" t="s">
        <v>293</v>
      </c>
    </row>
    <row r="1764" spans="2:9" ht="12.75">
      <c r="B1764" s="20" t="s">
        <v>46</v>
      </c>
      <c r="C1764" s="21">
        <f>(4/3)^1.56*E1764</f>
        <v>30.93652499044457</v>
      </c>
      <c r="D1764" s="16">
        <v>30.28</v>
      </c>
      <c r="E1764" s="16">
        <v>19.75</v>
      </c>
      <c r="F1764" s="22">
        <f>-((D1764-C1764)/D1764)</f>
        <v>0.02168180285484049</v>
      </c>
      <c r="G1764" s="21">
        <f>C1764-D1764</f>
        <v>0.65652499044457</v>
      </c>
      <c r="H1764" s="16">
        <v>1100</v>
      </c>
      <c r="I1764" s="16" t="s">
        <v>293</v>
      </c>
    </row>
    <row r="1765" spans="2:9" ht="12.75">
      <c r="B1765" s="20" t="s">
        <v>103</v>
      </c>
      <c r="C1765" s="21">
        <f>(4/3)^1.56*E1765</f>
        <v>51.47211195878525</v>
      </c>
      <c r="D1765" s="16">
        <v>51.75</v>
      </c>
      <c r="E1765" s="16">
        <v>32.86</v>
      </c>
      <c r="F1765" s="22">
        <f>-((D1765-C1765)/D1765)</f>
        <v>-0.005369817221541093</v>
      </c>
      <c r="G1765" s="21">
        <f>C1765-D1765</f>
        <v>-0.2778880412147515</v>
      </c>
      <c r="H1765" s="16">
        <v>1100</v>
      </c>
      <c r="I1765" s="16" t="s">
        <v>293</v>
      </c>
    </row>
    <row r="1766" spans="2:9" ht="12.75">
      <c r="B1766" s="20" t="s">
        <v>104</v>
      </c>
      <c r="C1766" s="21">
        <f>(4/3)^1.56*E1766</f>
        <v>44.90886944182511</v>
      </c>
      <c r="D1766" s="16">
        <v>44.77</v>
      </c>
      <c r="E1766" s="16">
        <v>28.67</v>
      </c>
      <c r="F1766" s="22">
        <f>-((D1766-C1766)/D1766)</f>
        <v>0.003101841452425904</v>
      </c>
      <c r="G1766" s="21">
        <f>C1766-D1766</f>
        <v>0.13886944182510774</v>
      </c>
      <c r="H1766" s="16">
        <v>1100</v>
      </c>
      <c r="I1766" s="16" t="s">
        <v>293</v>
      </c>
    </row>
    <row r="1767" spans="2:9" ht="12.75">
      <c r="B1767" s="20" t="s">
        <v>105</v>
      </c>
      <c r="C1767" s="21">
        <f>(4/3)^1.56*E1767</f>
        <v>41.99535367057311</v>
      </c>
      <c r="D1767" s="16">
        <v>43.04</v>
      </c>
      <c r="E1767" s="16">
        <v>26.81</v>
      </c>
      <c r="F1767" s="22">
        <f>-((D1767-C1767)/D1767)</f>
        <v>-0.024271522523858956</v>
      </c>
      <c r="G1767" s="21">
        <f>C1767-D1767</f>
        <v>-1.0446463294268895</v>
      </c>
      <c r="H1767" s="16">
        <v>1100</v>
      </c>
      <c r="I1767" s="16" t="s">
        <v>293</v>
      </c>
    </row>
    <row r="1768" spans="2:9" ht="12.75">
      <c r="B1768" s="20" t="s">
        <v>84</v>
      </c>
      <c r="C1768" s="21">
        <f>(4/3)^1.56*E1768</f>
        <v>34.946525191737635</v>
      </c>
      <c r="D1768" s="16">
        <v>35.36</v>
      </c>
      <c r="E1768" s="16">
        <v>22.31</v>
      </c>
      <c r="F1768" s="22">
        <f>-((D1768-C1768)/D1768)</f>
        <v>-0.011693292088867773</v>
      </c>
      <c r="G1768" s="21">
        <f>C1768-D1768</f>
        <v>-0.4134748082623645</v>
      </c>
      <c r="H1768" s="16">
        <v>1100</v>
      </c>
      <c r="I1768" s="16" t="s">
        <v>293</v>
      </c>
    </row>
    <row r="1769" spans="2:9" ht="12.75">
      <c r="B1769" s="20" t="s">
        <v>50</v>
      </c>
      <c r="C1769" s="21">
        <f>(4/3)^1.56*E1769</f>
        <v>41.49410364541148</v>
      </c>
      <c r="D1769" s="16">
        <v>42.96</v>
      </c>
      <c r="E1769" s="16">
        <v>26.49</v>
      </c>
      <c r="F1769" s="22">
        <f>-((D1769-C1769)/D1769)</f>
        <v>-0.034122354622637865</v>
      </c>
      <c r="G1769" s="21">
        <f>C1769-D1769</f>
        <v>-1.4658963545885229</v>
      </c>
      <c r="H1769" s="16">
        <v>1100</v>
      </c>
      <c r="I1769" s="16" t="s">
        <v>293</v>
      </c>
    </row>
    <row r="1770" spans="2:9" ht="12.75">
      <c r="B1770" s="20" t="s">
        <v>52</v>
      </c>
      <c r="C1770" s="21">
        <f>(4/3)^1.56*E1770</f>
        <v>32.064337547058244</v>
      </c>
      <c r="D1770" s="16">
        <v>34.2</v>
      </c>
      <c r="E1770" s="16">
        <v>20.47</v>
      </c>
      <c r="F1770" s="22">
        <f>-((D1770-C1770)/D1770)</f>
        <v>-0.06244627055385259</v>
      </c>
      <c r="G1770" s="21">
        <f>C1770-D1770</f>
        <v>-2.1356624529417587</v>
      </c>
      <c r="H1770" s="16">
        <v>1100</v>
      </c>
      <c r="I1770" s="16" t="s">
        <v>293</v>
      </c>
    </row>
    <row r="1771" spans="2:9" ht="12.75">
      <c r="B1771" s="20"/>
      <c r="C1771" s="21"/>
      <c r="D1771" s="16"/>
      <c r="E1771" s="16" t="s">
        <v>14</v>
      </c>
      <c r="F1771" s="22">
        <f>AVERAGE(F1761:F1770)</f>
        <v>0.0015574131216653923</v>
      </c>
      <c r="G1771" s="21">
        <f>AVERAGE(G1761:G1770)</f>
        <v>0.1643771412550155</v>
      </c>
      <c r="H1771" s="16"/>
      <c r="I1771" s="16"/>
    </row>
    <row r="1772" spans="2:9" ht="12.75">
      <c r="B1772" s="20"/>
      <c r="C1772" s="21"/>
      <c r="D1772" s="16"/>
      <c r="E1772" s="16"/>
      <c r="F1772" s="22"/>
      <c r="G1772" s="21"/>
      <c r="H1772" s="16"/>
      <c r="I1772" s="16"/>
    </row>
    <row r="1773" spans="1:9" ht="12.75">
      <c r="A1773" s="23" t="s">
        <v>0</v>
      </c>
      <c r="B1773" s="23" t="s">
        <v>1</v>
      </c>
      <c r="C1773" s="18" t="s">
        <v>74</v>
      </c>
      <c r="D1773" s="18" t="s">
        <v>73</v>
      </c>
      <c r="E1773" s="18" t="s">
        <v>3</v>
      </c>
      <c r="F1773" s="18" t="s">
        <v>5</v>
      </c>
      <c r="G1773" s="18" t="s">
        <v>6</v>
      </c>
      <c r="H1773" s="18" t="s">
        <v>7</v>
      </c>
      <c r="I1773" s="18" t="s">
        <v>8</v>
      </c>
    </row>
    <row r="1774" spans="1:9" ht="12.75">
      <c r="A1774" s="23" t="s">
        <v>292</v>
      </c>
      <c r="B1774" s="23" t="s">
        <v>92</v>
      </c>
      <c r="C1774" s="24">
        <f>(4/3)^2*E1774</f>
        <v>67.27111111111111</v>
      </c>
      <c r="D1774" s="18">
        <v>56.48</v>
      </c>
      <c r="E1774" s="18">
        <v>37.84</v>
      </c>
      <c r="F1774" s="25">
        <f>-((D1774-C1774)/D1774)</f>
        <v>0.19106074913440357</v>
      </c>
      <c r="G1774" s="24">
        <f>C1774-D1774</f>
        <v>10.791111111111114</v>
      </c>
      <c r="H1774" s="18">
        <v>1100</v>
      </c>
      <c r="I1774" s="18" t="s">
        <v>293</v>
      </c>
    </row>
    <row r="1775" spans="1:9" ht="12.75">
      <c r="A1775" s="5"/>
      <c r="B1775" s="23" t="s">
        <v>93</v>
      </c>
      <c r="C1775" s="24">
        <f>(4/3)^2*E1775</f>
        <v>48.28444444444444</v>
      </c>
      <c r="D1775" s="18">
        <v>40.77</v>
      </c>
      <c r="E1775" s="18">
        <v>27.16</v>
      </c>
      <c r="F1775" s="25">
        <f>-((D1775-C1775)/D1775)</f>
        <v>0.1843130842395005</v>
      </c>
      <c r="G1775" s="24">
        <f>C1775-D1775</f>
        <v>7.514444444444436</v>
      </c>
      <c r="H1775" s="18">
        <v>1100</v>
      </c>
      <c r="I1775" s="18" t="s">
        <v>293</v>
      </c>
    </row>
    <row r="1776" spans="1:9" ht="12.75">
      <c r="A1776" s="5"/>
      <c r="B1776" s="23" t="s">
        <v>44</v>
      </c>
      <c r="C1776" s="24">
        <f>(4/3)^2*E1776</f>
        <v>53.26222222222222</v>
      </c>
      <c r="D1776" s="18">
        <v>45.31</v>
      </c>
      <c r="E1776" s="18">
        <v>29.96</v>
      </c>
      <c r="F1776" s="25">
        <f>-((D1776-C1776)/D1776)</f>
        <v>0.1755070011525539</v>
      </c>
      <c r="G1776" s="24">
        <f>C1776-D1776</f>
        <v>7.952222222222218</v>
      </c>
      <c r="H1776" s="18">
        <v>1100</v>
      </c>
      <c r="I1776" s="18" t="s">
        <v>293</v>
      </c>
    </row>
    <row r="1777" spans="1:9" ht="12.75">
      <c r="A1777" s="5"/>
      <c r="B1777" s="23" t="s">
        <v>46</v>
      </c>
      <c r="C1777" s="24">
        <f>(4/3)^2*E1777</f>
        <v>35.11111111111111</v>
      </c>
      <c r="D1777" s="18">
        <v>30.28</v>
      </c>
      <c r="E1777" s="18">
        <v>19.75</v>
      </c>
      <c r="F1777" s="25">
        <f>-((D1777-C1777)/D1777)</f>
        <v>0.15954792308821353</v>
      </c>
      <c r="G1777" s="24">
        <f>C1777-D1777</f>
        <v>4.831111111111106</v>
      </c>
      <c r="H1777" s="18">
        <v>1100</v>
      </c>
      <c r="I1777" s="18" t="s">
        <v>293</v>
      </c>
    </row>
    <row r="1778" spans="1:9" ht="12.75">
      <c r="A1778" s="5"/>
      <c r="B1778" s="23" t="s">
        <v>103</v>
      </c>
      <c r="C1778" s="24">
        <f>(4/3)^2*E1778</f>
        <v>58.41777777777777</v>
      </c>
      <c r="D1778" s="18">
        <v>51.75</v>
      </c>
      <c r="E1778" s="18">
        <v>32.86</v>
      </c>
      <c r="F1778" s="25">
        <f>-((D1778-C1778)/D1778)</f>
        <v>0.12884594739667193</v>
      </c>
      <c r="G1778" s="24">
        <f>C1778-D1778</f>
        <v>6.667777777777772</v>
      </c>
      <c r="H1778" s="18">
        <v>1100</v>
      </c>
      <c r="I1778" s="18" t="s">
        <v>293</v>
      </c>
    </row>
    <row r="1779" spans="1:9" ht="12.75">
      <c r="A1779" s="5"/>
      <c r="B1779" s="23" t="s">
        <v>104</v>
      </c>
      <c r="C1779" s="24">
        <f>(4/3)^2*E1779</f>
        <v>50.96888888888889</v>
      </c>
      <c r="D1779" s="18">
        <v>44.77</v>
      </c>
      <c r="E1779" s="18">
        <v>28.67</v>
      </c>
      <c r="F1779" s="25">
        <f>-((D1779-C1779)/D1779)</f>
        <v>0.13846077482441116</v>
      </c>
      <c r="G1779" s="24">
        <f>C1779-D1779</f>
        <v>6.198888888888888</v>
      </c>
      <c r="H1779" s="18">
        <v>1100</v>
      </c>
      <c r="I1779" s="18" t="s">
        <v>293</v>
      </c>
    </row>
    <row r="1780" spans="1:9" ht="12.75">
      <c r="A1780" s="5"/>
      <c r="B1780" s="23" t="s">
        <v>105</v>
      </c>
      <c r="C1780" s="24">
        <f>(4/3)^2*E1780</f>
        <v>47.66222222222222</v>
      </c>
      <c r="D1780" s="18">
        <v>43.04</v>
      </c>
      <c r="E1780" s="18">
        <v>26.81</v>
      </c>
      <c r="F1780" s="25">
        <f>-((D1780-C1780)/D1780)</f>
        <v>0.10739363899215196</v>
      </c>
      <c r="G1780" s="24">
        <f>C1780-D1780</f>
        <v>4.62222222222222</v>
      </c>
      <c r="H1780" s="18">
        <v>1100</v>
      </c>
      <c r="I1780" s="18" t="s">
        <v>293</v>
      </c>
    </row>
    <row r="1781" spans="1:9" ht="12.75">
      <c r="A1781" s="5"/>
      <c r="B1781" s="23" t="s">
        <v>84</v>
      </c>
      <c r="C1781" s="24">
        <f>(4/3)^2*E1781</f>
        <v>39.66222222222222</v>
      </c>
      <c r="D1781" s="18">
        <v>35.36</v>
      </c>
      <c r="E1781" s="18">
        <v>22.31</v>
      </c>
      <c r="F1781" s="25">
        <f>-((D1781-C1781)/D1781)</f>
        <v>0.12166918049270983</v>
      </c>
      <c r="G1781" s="24">
        <f>C1781-D1781</f>
        <v>4.30222222222222</v>
      </c>
      <c r="H1781" s="18">
        <v>1100</v>
      </c>
      <c r="I1781" s="18" t="s">
        <v>293</v>
      </c>
    </row>
    <row r="1782" spans="1:9" ht="12.75">
      <c r="A1782" s="5"/>
      <c r="B1782" s="23" t="s">
        <v>50</v>
      </c>
      <c r="C1782" s="24">
        <f>(4/3)^2*E1782</f>
        <v>47.09333333333333</v>
      </c>
      <c r="D1782" s="18">
        <v>42.96</v>
      </c>
      <c r="E1782" s="18">
        <v>26.49</v>
      </c>
      <c r="F1782" s="25">
        <f>-((D1782-C1782)/D1782)</f>
        <v>0.09621353196772173</v>
      </c>
      <c r="G1782" s="24">
        <f>C1782-D1782</f>
        <v>4.133333333333326</v>
      </c>
      <c r="H1782" s="18">
        <v>1100</v>
      </c>
      <c r="I1782" s="18" t="s">
        <v>293</v>
      </c>
    </row>
    <row r="1783" spans="1:9" ht="12.75">
      <c r="A1783" s="5"/>
      <c r="B1783" s="23" t="s">
        <v>52</v>
      </c>
      <c r="C1783" s="24">
        <f>(4/3)^2*E1783</f>
        <v>36.39111111111111</v>
      </c>
      <c r="D1783" s="18">
        <v>34.2</v>
      </c>
      <c r="E1783" s="18">
        <v>20.47</v>
      </c>
      <c r="F1783" s="25">
        <f>-((D1783-C1783)/D1783)</f>
        <v>0.06406757634827794</v>
      </c>
      <c r="G1783" s="24">
        <f>C1783-D1783</f>
        <v>2.1911111111111055</v>
      </c>
      <c r="H1783" s="18">
        <v>1100</v>
      </c>
      <c r="I1783" s="18" t="s">
        <v>293</v>
      </c>
    </row>
    <row r="1784" spans="1:9" ht="12.75">
      <c r="A1784" s="5"/>
      <c r="B1784" s="23"/>
      <c r="C1784" s="24"/>
      <c r="D1784" s="18"/>
      <c r="E1784" s="18" t="s">
        <v>14</v>
      </c>
      <c r="F1784" s="25">
        <f>AVERAGE(F1774:F1783)</f>
        <v>0.1367079407636616</v>
      </c>
      <c r="G1784" s="24">
        <f>AVERAGE(G1774:G1783)</f>
        <v>5.92044444444444</v>
      </c>
      <c r="H1784" s="18"/>
      <c r="I1784" s="18"/>
    </row>
    <row r="1785" spans="2:8" ht="12.75">
      <c r="B1785" s="20"/>
      <c r="C1785" s="20"/>
      <c r="D1785" s="16"/>
      <c r="E1785" s="16"/>
      <c r="F1785" s="16"/>
      <c r="G1785" s="16"/>
      <c r="H1785" s="16"/>
    </row>
    <row r="1786" spans="1:9" ht="12.75">
      <c r="A1786" s="69" t="s">
        <v>0</v>
      </c>
      <c r="B1786" s="69" t="s">
        <v>1</v>
      </c>
      <c r="C1786" s="70" t="s">
        <v>294</v>
      </c>
      <c r="D1786" s="70" t="s">
        <v>218</v>
      </c>
      <c r="E1786" s="70" t="s">
        <v>73</v>
      </c>
      <c r="F1786" s="70" t="s">
        <v>5</v>
      </c>
      <c r="G1786" s="70" t="s">
        <v>6</v>
      </c>
      <c r="H1786" s="70" t="s">
        <v>7</v>
      </c>
      <c r="I1786" s="70" t="s">
        <v>8</v>
      </c>
    </row>
    <row r="1787" spans="1:9" ht="12.75">
      <c r="A1787" s="69" t="s">
        <v>295</v>
      </c>
      <c r="B1787" s="69" t="s">
        <v>46</v>
      </c>
      <c r="C1787" s="71">
        <f>(5/4)^1.62*E1787</f>
        <v>43.46604165847581</v>
      </c>
      <c r="D1787" s="70">
        <v>41.54</v>
      </c>
      <c r="E1787" s="70">
        <v>30.28</v>
      </c>
      <c r="F1787" s="72">
        <f>-((D1787-C1787)/D1787)</f>
        <v>0.04636595229840661</v>
      </c>
      <c r="G1787" s="71">
        <f>C1787-D1787</f>
        <v>1.9260416584758104</v>
      </c>
      <c r="H1787" s="70">
        <v>1100</v>
      </c>
      <c r="I1787" s="70" t="s">
        <v>293</v>
      </c>
    </row>
    <row r="1788" spans="2:9" ht="12.75">
      <c r="B1788" s="69" t="s">
        <v>71</v>
      </c>
      <c r="C1788" s="71">
        <f>(5/4)^1.62*E1788</f>
        <v>44.24119563785417</v>
      </c>
      <c r="D1788" s="70">
        <v>44.76</v>
      </c>
      <c r="E1788" s="70">
        <v>30.82</v>
      </c>
      <c r="F1788" s="72">
        <f>-((D1788-C1788)/D1788)</f>
        <v>-0.011590803443829964</v>
      </c>
      <c r="G1788" s="71">
        <f>C1788-D1788</f>
        <v>-0.5188043621458291</v>
      </c>
      <c r="H1788" s="70">
        <v>1100</v>
      </c>
      <c r="I1788" s="70" t="s">
        <v>293</v>
      </c>
    </row>
    <row r="1789" spans="2:9" ht="12.75">
      <c r="B1789" s="69" t="s">
        <v>52</v>
      </c>
      <c r="C1789" s="71">
        <f>(5/4)^1.62*E1789</f>
        <v>49.09308536062988</v>
      </c>
      <c r="D1789" s="70">
        <v>50.75</v>
      </c>
      <c r="E1789" s="70">
        <v>34.2</v>
      </c>
      <c r="F1789" s="72">
        <f>-((D1789-C1789)/D1789)</f>
        <v>-0.032648564322563974</v>
      </c>
      <c r="G1789" s="71">
        <f>C1789-D1789</f>
        <v>-1.6569146393701217</v>
      </c>
      <c r="H1789" s="70">
        <v>1100</v>
      </c>
      <c r="I1789" s="70" t="s">
        <v>293</v>
      </c>
    </row>
    <row r="1790" spans="2:9" ht="12.75">
      <c r="B1790" s="69"/>
      <c r="C1790" s="71"/>
      <c r="D1790" s="70"/>
      <c r="E1790" s="70" t="s">
        <v>14</v>
      </c>
      <c r="F1790" s="72">
        <f>AVERAGE(F1787:F1789)</f>
        <v>0.0007088615106708903</v>
      </c>
      <c r="G1790" s="71">
        <f>AVERAGE(G1787:G1789)</f>
        <v>-0.08322578101338014</v>
      </c>
      <c r="H1790" s="70"/>
      <c r="I1790" s="70"/>
    </row>
    <row r="1791" spans="2:9" ht="12.75">
      <c r="B1791" s="69"/>
      <c r="C1791" s="71"/>
      <c r="D1791" s="70"/>
      <c r="E1791" s="70"/>
      <c r="F1791" s="72"/>
      <c r="G1791" s="71"/>
      <c r="H1791" s="70"/>
      <c r="I1791" s="70"/>
    </row>
    <row r="1792" spans="1:9" ht="12.75">
      <c r="A1792" s="73" t="s">
        <v>0</v>
      </c>
      <c r="B1792" s="73" t="s">
        <v>1</v>
      </c>
      <c r="C1792" s="74" t="s">
        <v>219</v>
      </c>
      <c r="D1792" s="74" t="s">
        <v>218</v>
      </c>
      <c r="E1792" s="74" t="s">
        <v>73</v>
      </c>
      <c r="F1792" s="74" t="s">
        <v>5</v>
      </c>
      <c r="G1792" s="74" t="s">
        <v>6</v>
      </c>
      <c r="H1792" s="74" t="s">
        <v>7</v>
      </c>
      <c r="I1792" s="74" t="s">
        <v>8</v>
      </c>
    </row>
    <row r="1793" spans="1:9" ht="12.75">
      <c r="A1793" s="73" t="s">
        <v>295</v>
      </c>
      <c r="B1793" s="73" t="s">
        <v>46</v>
      </c>
      <c r="C1793" s="75">
        <f>(5/4)^2*E1793</f>
        <v>47.3125</v>
      </c>
      <c r="D1793" s="74">
        <v>41.54</v>
      </c>
      <c r="E1793" s="74">
        <v>30.28</v>
      </c>
      <c r="F1793" s="76">
        <f>-((D1793-C1793)/D1793)</f>
        <v>0.13896244583533945</v>
      </c>
      <c r="G1793" s="75">
        <f>C1793-D1793</f>
        <v>5.772500000000001</v>
      </c>
      <c r="H1793" s="74">
        <v>1100</v>
      </c>
      <c r="I1793" s="74" t="s">
        <v>293</v>
      </c>
    </row>
    <row r="1794" spans="1:9" ht="12.75">
      <c r="A1794" s="5"/>
      <c r="B1794" s="73" t="s">
        <v>71</v>
      </c>
      <c r="C1794" s="75">
        <f>(5/4)^2*E1794</f>
        <v>48.15625</v>
      </c>
      <c r="D1794" s="74">
        <v>44.76</v>
      </c>
      <c r="E1794" s="74">
        <v>30.82</v>
      </c>
      <c r="F1794" s="76">
        <f>-((D1794-C1794)/D1794)</f>
        <v>0.0758768990169795</v>
      </c>
      <c r="G1794" s="75">
        <f>C1794-D1794</f>
        <v>3.396250000000002</v>
      </c>
      <c r="H1794" s="74">
        <v>1100</v>
      </c>
      <c r="I1794" s="74" t="s">
        <v>293</v>
      </c>
    </row>
    <row r="1795" spans="1:9" ht="12.75">
      <c r="A1795" s="5"/>
      <c r="B1795" s="73" t="s">
        <v>52</v>
      </c>
      <c r="C1795" s="75">
        <f>(5/4)^2*E1795</f>
        <v>53.43750000000001</v>
      </c>
      <c r="D1795" s="74">
        <v>50.75</v>
      </c>
      <c r="E1795" s="74">
        <v>34.2</v>
      </c>
      <c r="F1795" s="76">
        <f>-((D1795-C1795)/D1795)</f>
        <v>0.05295566502463068</v>
      </c>
      <c r="G1795" s="75">
        <f>C1795-D1795</f>
        <v>2.687500000000007</v>
      </c>
      <c r="H1795" s="74">
        <v>1100</v>
      </c>
      <c r="I1795" s="74" t="s">
        <v>293</v>
      </c>
    </row>
    <row r="1796" spans="1:9" ht="12.75">
      <c r="A1796" s="5"/>
      <c r="B1796" s="73"/>
      <c r="C1796" s="75"/>
      <c r="D1796" s="74"/>
      <c r="E1796" s="74" t="s">
        <v>14</v>
      </c>
      <c r="F1796" s="76">
        <f>AVERAGE(F1793:F1795)</f>
        <v>0.08926500329231653</v>
      </c>
      <c r="G1796" s="75">
        <f>AVERAGE(G1793:G1795)</f>
        <v>3.9520833333333365</v>
      </c>
      <c r="H1796" s="74"/>
      <c r="I1796" s="74"/>
    </row>
    <row r="1797" spans="2:9" ht="12.75">
      <c r="B1797" s="69"/>
      <c r="C1797" s="71"/>
      <c r="D1797" s="70"/>
      <c r="E1797" s="70"/>
      <c r="F1797" s="72"/>
      <c r="G1797" s="71"/>
      <c r="H1797" s="70"/>
      <c r="I1797" s="70"/>
    </row>
    <row r="1798" spans="1:9" ht="12.75">
      <c r="A1798" s="20" t="s">
        <v>0</v>
      </c>
      <c r="B1798" s="20" t="s">
        <v>1</v>
      </c>
      <c r="C1798" s="16" t="s">
        <v>251</v>
      </c>
      <c r="D1798" s="16" t="s">
        <v>73</v>
      </c>
      <c r="E1798" s="16" t="s">
        <v>3</v>
      </c>
      <c r="F1798" s="16" t="s">
        <v>5</v>
      </c>
      <c r="G1798" s="16" t="s">
        <v>6</v>
      </c>
      <c r="H1798" s="16" t="s">
        <v>7</v>
      </c>
      <c r="I1798" s="16" t="s">
        <v>8</v>
      </c>
    </row>
    <row r="1799" spans="1:9" ht="12.75">
      <c r="A1799" s="20" t="s">
        <v>296</v>
      </c>
      <c r="B1799" s="20" t="s">
        <v>91</v>
      </c>
      <c r="C1799" s="21">
        <f>(4/3)^1.53*E1799</f>
        <v>48.40531707597908</v>
      </c>
      <c r="D1799" s="16">
        <v>46.35</v>
      </c>
      <c r="E1799" s="16">
        <v>31.17</v>
      </c>
      <c r="F1799" s="22">
        <f>-((D1799-C1799)/D1799)</f>
        <v>0.044343410484985454</v>
      </c>
      <c r="G1799" s="21">
        <f>C1799-D1799</f>
        <v>2.055317075979076</v>
      </c>
      <c r="H1799" s="16">
        <v>950</v>
      </c>
      <c r="I1799" s="16" t="s">
        <v>293</v>
      </c>
    </row>
    <row r="1800" spans="2:9" ht="12.75">
      <c r="B1800" s="20" t="s">
        <v>92</v>
      </c>
      <c r="C1800" s="21">
        <f>(4/3)^1.53*E1800</f>
        <v>40.15917547593259</v>
      </c>
      <c r="D1800" s="16">
        <v>38.98</v>
      </c>
      <c r="E1800" s="16">
        <v>25.86</v>
      </c>
      <c r="F1800" s="22">
        <f>-((D1800-C1800)/D1800)</f>
        <v>0.030250781835110197</v>
      </c>
      <c r="G1800" s="21">
        <f>C1800-D1800</f>
        <v>1.1791754759325954</v>
      </c>
      <c r="H1800" s="16">
        <v>950</v>
      </c>
      <c r="I1800" s="16" t="s">
        <v>293</v>
      </c>
    </row>
    <row r="1801" spans="2:9" ht="12.75">
      <c r="B1801" s="20" t="s">
        <v>93</v>
      </c>
      <c r="C1801" s="21">
        <f>(4/3)^1.53*E1801</f>
        <v>28.760554130482273</v>
      </c>
      <c r="D1801" s="16">
        <v>27.6</v>
      </c>
      <c r="E1801" s="16">
        <v>18.52</v>
      </c>
      <c r="F1801" s="22">
        <f>-((D1801-C1801)/D1801)</f>
        <v>0.042049062698633025</v>
      </c>
      <c r="G1801" s="21">
        <f>C1801-D1801</f>
        <v>1.1605541304822715</v>
      </c>
      <c r="H1801" s="16">
        <v>950</v>
      </c>
      <c r="I1801" s="16" t="s">
        <v>293</v>
      </c>
    </row>
    <row r="1802" spans="2:9" ht="12.75">
      <c r="B1802" s="20" t="s">
        <v>96</v>
      </c>
      <c r="C1802" s="21">
        <f>(4/3)^1.53*E1802</f>
        <v>37.89187477234165</v>
      </c>
      <c r="D1802" s="16">
        <v>37.78</v>
      </c>
      <c r="E1802" s="16">
        <v>24.4</v>
      </c>
      <c r="F1802" s="22">
        <f>-((D1802-C1802)/D1802)</f>
        <v>0.0029612168433470207</v>
      </c>
      <c r="G1802" s="21">
        <f>C1802-D1802</f>
        <v>0.11187477234165044</v>
      </c>
      <c r="H1802" s="16">
        <v>950</v>
      </c>
      <c r="I1802" s="16" t="s">
        <v>293</v>
      </c>
    </row>
    <row r="1803" spans="2:9" ht="12.75">
      <c r="B1803" s="20" t="s">
        <v>148</v>
      </c>
      <c r="C1803" s="21">
        <f>(4/3)^1.53*E1803</f>
        <v>47.24060781043579</v>
      </c>
      <c r="D1803" s="16">
        <v>48.48</v>
      </c>
      <c r="E1803" s="16">
        <v>30.42</v>
      </c>
      <c r="F1803" s="22">
        <f>-((D1803-C1803)/D1803)</f>
        <v>-0.025565020411802943</v>
      </c>
      <c r="G1803" s="21">
        <f>C1803-D1803</f>
        <v>-1.2393921895642066</v>
      </c>
      <c r="H1803" s="16">
        <v>950</v>
      </c>
      <c r="I1803" s="16" t="s">
        <v>293</v>
      </c>
    </row>
    <row r="1804" spans="2:9" ht="12.75">
      <c r="B1804" s="20" t="s">
        <v>97</v>
      </c>
      <c r="C1804" s="21">
        <f>(4/3)^1.53*E1804</f>
        <v>43.52906761757117</v>
      </c>
      <c r="D1804" s="16">
        <v>44.37</v>
      </c>
      <c r="E1804" s="16">
        <v>28.03</v>
      </c>
      <c r="F1804" s="22">
        <f>-((D1804-C1804)/D1804)</f>
        <v>-0.018952724418048798</v>
      </c>
      <c r="G1804" s="21">
        <f>C1804-D1804</f>
        <v>-0.8409323824288251</v>
      </c>
      <c r="H1804" s="16">
        <v>950</v>
      </c>
      <c r="I1804" s="16" t="s">
        <v>293</v>
      </c>
    </row>
    <row r="1805" spans="2:9" ht="12.75">
      <c r="B1805" s="20" t="s">
        <v>98</v>
      </c>
      <c r="C1805" s="21">
        <f>(4/3)^1.53*E1805</f>
        <v>36.82034224804183</v>
      </c>
      <c r="D1805" s="16">
        <v>37.78</v>
      </c>
      <c r="E1805" s="16">
        <v>23.71</v>
      </c>
      <c r="F1805" s="22">
        <f>-((D1805-C1805)/D1805)</f>
        <v>-0.025401211010009757</v>
      </c>
      <c r="G1805" s="21">
        <f>C1805-D1805</f>
        <v>-0.9596577519581686</v>
      </c>
      <c r="H1805" s="16">
        <v>950</v>
      </c>
      <c r="I1805" s="16" t="s">
        <v>293</v>
      </c>
    </row>
    <row r="1806" spans="2:9" ht="12.75">
      <c r="B1806" s="20" t="s">
        <v>103</v>
      </c>
      <c r="C1806" s="21">
        <f>(4/3)^1.53*E1806</f>
        <v>34.04056946761185</v>
      </c>
      <c r="D1806" s="16">
        <v>34.68</v>
      </c>
      <c r="E1806" s="16">
        <v>21.92</v>
      </c>
      <c r="F1806" s="22">
        <f>-((D1806-C1806)/D1806)</f>
        <v>-0.01843801996505614</v>
      </c>
      <c r="G1806" s="21">
        <f>C1806-D1806</f>
        <v>-0.6394305323881468</v>
      </c>
      <c r="H1806" s="16">
        <v>950</v>
      </c>
      <c r="I1806" s="16" t="s">
        <v>293</v>
      </c>
    </row>
    <row r="1807" spans="2:9" ht="12.75">
      <c r="B1807" s="20" t="s">
        <v>107</v>
      </c>
      <c r="C1807" s="21">
        <f>(4/3)^1.53*E1807</f>
        <v>39.35164371848924</v>
      </c>
      <c r="D1807" s="16">
        <v>38.2</v>
      </c>
      <c r="E1807" s="16">
        <v>25.34</v>
      </c>
      <c r="F1807" s="22">
        <f>-((D1807-C1807)/D1807)</f>
        <v>0.030147741321707843</v>
      </c>
      <c r="G1807" s="21">
        <f>C1807-D1807</f>
        <v>1.1516437184892396</v>
      </c>
      <c r="H1807" s="16">
        <v>950</v>
      </c>
      <c r="I1807" s="16" t="s">
        <v>293</v>
      </c>
    </row>
    <row r="1808" spans="2:9" ht="12.75">
      <c r="B1808" s="20" t="s">
        <v>83</v>
      </c>
      <c r="C1808" s="21">
        <f>(4/3)^1.53*E1808</f>
        <v>33.201978796420676</v>
      </c>
      <c r="D1808" s="16">
        <v>34.91</v>
      </c>
      <c r="E1808" s="16">
        <v>21.38</v>
      </c>
      <c r="F1808" s="22">
        <f>-((D1808-C1808)/D1808)</f>
        <v>-0.048926416602100294</v>
      </c>
      <c r="G1808" s="21">
        <f>C1808-D1808</f>
        <v>-1.708021203579321</v>
      </c>
      <c r="H1808" s="16">
        <v>950</v>
      </c>
      <c r="I1808" s="16" t="s">
        <v>293</v>
      </c>
    </row>
    <row r="1809" spans="2:9" ht="12.75">
      <c r="B1809" s="20"/>
      <c r="C1809" s="21"/>
      <c r="D1809" s="16"/>
      <c r="E1809" s="16" t="s">
        <v>14</v>
      </c>
      <c r="F1809" s="22">
        <f>AVERAGE(F1799:F1808)</f>
        <v>0.0012468820776765602</v>
      </c>
      <c r="G1809" s="21">
        <f>AVERAGE(G1799:G1808)</f>
        <v>0.02711311133061649</v>
      </c>
      <c r="H1809" s="16"/>
      <c r="I1809" s="16"/>
    </row>
    <row r="1810" spans="2:9" ht="12.75">
      <c r="B1810" s="20"/>
      <c r="C1810" s="21"/>
      <c r="D1810" s="16"/>
      <c r="E1810" s="16"/>
      <c r="F1810" s="22"/>
      <c r="G1810" s="21"/>
      <c r="H1810" s="16"/>
      <c r="I1810" s="16"/>
    </row>
    <row r="1811" spans="1:9" ht="12.75">
      <c r="A1811" s="23" t="s">
        <v>0</v>
      </c>
      <c r="B1811" s="23" t="s">
        <v>1</v>
      </c>
      <c r="C1811" s="18" t="s">
        <v>74</v>
      </c>
      <c r="D1811" s="18" t="s">
        <v>73</v>
      </c>
      <c r="E1811" s="18" t="s">
        <v>3</v>
      </c>
      <c r="F1811" s="18" t="s">
        <v>5</v>
      </c>
      <c r="G1811" s="18" t="s">
        <v>6</v>
      </c>
      <c r="H1811" s="18" t="s">
        <v>7</v>
      </c>
      <c r="I1811" s="18" t="s">
        <v>8</v>
      </c>
    </row>
    <row r="1812" spans="1:9" ht="12.75">
      <c r="A1812" s="23" t="s">
        <v>296</v>
      </c>
      <c r="B1812" s="23" t="s">
        <v>91</v>
      </c>
      <c r="C1812" s="24">
        <f>(4/3)^2*E1812</f>
        <v>55.413333333333334</v>
      </c>
      <c r="D1812" s="18">
        <v>46.35</v>
      </c>
      <c r="E1812" s="18">
        <v>31.17</v>
      </c>
      <c r="F1812" s="25">
        <f>-((D1812-C1812)/D1812)</f>
        <v>0.19554117224020134</v>
      </c>
      <c r="G1812" s="24">
        <f>C1812-D1812</f>
        <v>9.063333333333333</v>
      </c>
      <c r="H1812" s="18">
        <v>950</v>
      </c>
      <c r="I1812" s="18" t="s">
        <v>293</v>
      </c>
    </row>
    <row r="1813" spans="1:9" ht="12.75">
      <c r="A1813" s="5"/>
      <c r="B1813" s="23" t="s">
        <v>92</v>
      </c>
      <c r="C1813" s="24">
        <f>(4/3)^2*E1813</f>
        <v>45.97333333333333</v>
      </c>
      <c r="D1813" s="18">
        <v>38.98</v>
      </c>
      <c r="E1813" s="18">
        <v>25.86</v>
      </c>
      <c r="F1813" s="25">
        <f>-((D1813-C1813)/D1813)</f>
        <v>0.1794082435436976</v>
      </c>
      <c r="G1813" s="24">
        <f>C1813-D1813</f>
        <v>6.993333333333332</v>
      </c>
      <c r="H1813" s="18">
        <v>950</v>
      </c>
      <c r="I1813" s="18" t="s">
        <v>293</v>
      </c>
    </row>
    <row r="1814" spans="1:9" ht="12.75">
      <c r="A1814" s="5"/>
      <c r="B1814" s="23" t="s">
        <v>93</v>
      </c>
      <c r="C1814" s="24">
        <f>(4/3)^2*E1814</f>
        <v>32.92444444444444</v>
      </c>
      <c r="D1814" s="18">
        <v>27.6</v>
      </c>
      <c r="E1814" s="18">
        <v>18.52</v>
      </c>
      <c r="F1814" s="25">
        <f>-((D1814-C1814)/D1814)</f>
        <v>0.19291465378421876</v>
      </c>
      <c r="G1814" s="24">
        <f>C1814-D1814</f>
        <v>5.324444444444438</v>
      </c>
      <c r="H1814" s="18">
        <v>950</v>
      </c>
      <c r="I1814" s="18" t="s">
        <v>293</v>
      </c>
    </row>
    <row r="1815" spans="1:9" ht="12.75">
      <c r="A1815" s="5"/>
      <c r="B1815" s="23" t="s">
        <v>96</v>
      </c>
      <c r="C1815" s="24">
        <f>(4/3)^2*E1815</f>
        <v>43.37777777777777</v>
      </c>
      <c r="D1815" s="18">
        <v>37.78</v>
      </c>
      <c r="E1815" s="18">
        <v>24.4</v>
      </c>
      <c r="F1815" s="25">
        <f>-((D1815-C1815)/D1815)</f>
        <v>0.14816775483795055</v>
      </c>
      <c r="G1815" s="24">
        <f>C1815-D1815</f>
        <v>5.597777777777772</v>
      </c>
      <c r="H1815" s="18">
        <v>950</v>
      </c>
      <c r="I1815" s="18" t="s">
        <v>293</v>
      </c>
    </row>
    <row r="1816" spans="1:9" ht="12.75">
      <c r="A1816" s="5"/>
      <c r="B1816" s="23" t="s">
        <v>148</v>
      </c>
      <c r="C1816" s="24">
        <f>(4/3)^2*E1816</f>
        <v>54.08</v>
      </c>
      <c r="D1816" s="18">
        <v>48.48</v>
      </c>
      <c r="E1816" s="18">
        <v>30.42</v>
      </c>
      <c r="F1816" s="25">
        <f>-((D1816-C1816)/D1816)</f>
        <v>0.11551155115511555</v>
      </c>
      <c r="G1816" s="24">
        <f>C1816-D1816</f>
        <v>5.600000000000001</v>
      </c>
      <c r="H1816" s="18">
        <v>950</v>
      </c>
      <c r="I1816" s="18" t="s">
        <v>293</v>
      </c>
    </row>
    <row r="1817" spans="1:9" ht="12.75">
      <c r="A1817" s="5"/>
      <c r="B1817" s="23" t="s">
        <v>97</v>
      </c>
      <c r="C1817" s="24">
        <f>(4/3)^2*E1817</f>
        <v>49.83111111111111</v>
      </c>
      <c r="D1817" s="18">
        <v>44.37</v>
      </c>
      <c r="E1817" s="18">
        <v>28.03</v>
      </c>
      <c r="F1817" s="25">
        <f>-((D1817-C1817)/D1817)</f>
        <v>0.12308116094458228</v>
      </c>
      <c r="G1817" s="24">
        <f>C1817-D1817</f>
        <v>5.461111111111116</v>
      </c>
      <c r="H1817" s="18">
        <v>950</v>
      </c>
      <c r="I1817" s="18" t="s">
        <v>293</v>
      </c>
    </row>
    <row r="1818" spans="1:9" ht="12.75">
      <c r="A1818" s="5"/>
      <c r="B1818" s="23" t="s">
        <v>98</v>
      </c>
      <c r="C1818" s="24">
        <f>(4/3)^2*E1818</f>
        <v>42.15111111111111</v>
      </c>
      <c r="D1818" s="18">
        <v>37.78</v>
      </c>
      <c r="E1818" s="18">
        <v>23.71</v>
      </c>
      <c r="F1818" s="25">
        <f>-((D1818-C1818)/D1818)</f>
        <v>0.11569907652491032</v>
      </c>
      <c r="G1818" s="24">
        <f>C1818-D1818</f>
        <v>4.371111111111112</v>
      </c>
      <c r="H1818" s="18">
        <v>950</v>
      </c>
      <c r="I1818" s="18" t="s">
        <v>293</v>
      </c>
    </row>
    <row r="1819" spans="1:9" ht="12.75">
      <c r="A1819" s="5"/>
      <c r="B1819" s="23" t="s">
        <v>103</v>
      </c>
      <c r="C1819" s="24">
        <f>(4/3)^2*E1819</f>
        <v>38.96888888888889</v>
      </c>
      <c r="D1819" s="18">
        <v>34.68</v>
      </c>
      <c r="E1819" s="18">
        <v>21.92</v>
      </c>
      <c r="F1819" s="25">
        <f>-((D1819-C1819)/D1819)</f>
        <v>0.12367038318595419</v>
      </c>
      <c r="G1819" s="24">
        <f>C1819-D1819</f>
        <v>4.288888888888891</v>
      </c>
      <c r="H1819" s="18">
        <v>950</v>
      </c>
      <c r="I1819" s="18" t="s">
        <v>293</v>
      </c>
    </row>
    <row r="1820" spans="1:9" ht="12.75">
      <c r="A1820" s="5"/>
      <c r="B1820" s="23" t="s">
        <v>107</v>
      </c>
      <c r="C1820" s="24">
        <f>(4/3)^2*E1820</f>
        <v>45.04888888888889</v>
      </c>
      <c r="D1820" s="18">
        <v>38.2</v>
      </c>
      <c r="E1820" s="18">
        <v>25.34</v>
      </c>
      <c r="F1820" s="25">
        <f>-((D1820-C1820)/D1820)</f>
        <v>0.17929028504944727</v>
      </c>
      <c r="G1820" s="24">
        <f>C1820-D1820</f>
        <v>6.848888888888887</v>
      </c>
      <c r="H1820" s="18">
        <v>950</v>
      </c>
      <c r="I1820" s="18" t="s">
        <v>293</v>
      </c>
    </row>
    <row r="1821" spans="1:9" ht="12.75">
      <c r="A1821" s="5"/>
      <c r="B1821" s="23" t="s">
        <v>83</v>
      </c>
      <c r="C1821" s="24">
        <f>(4/3)^2*E1821</f>
        <v>38.00888888888888</v>
      </c>
      <c r="D1821" s="18">
        <v>34.91</v>
      </c>
      <c r="E1821" s="18">
        <v>21.38</v>
      </c>
      <c r="F1821" s="25">
        <f>-((D1821-C1821)/D1821)</f>
        <v>0.0887679429644482</v>
      </c>
      <c r="G1821" s="24">
        <f>C1821-D1821</f>
        <v>3.0988888888888866</v>
      </c>
      <c r="H1821" s="18">
        <v>950</v>
      </c>
      <c r="I1821" s="18" t="s">
        <v>293</v>
      </c>
    </row>
    <row r="1822" spans="1:9" ht="12.75">
      <c r="A1822" s="5"/>
      <c r="B1822" s="23"/>
      <c r="C1822" s="24"/>
      <c r="D1822" s="18"/>
      <c r="E1822" s="18" t="s">
        <v>14</v>
      </c>
      <c r="F1822" s="25">
        <f>AVERAGE(F1812:F1821)</f>
        <v>0.14620522242305262</v>
      </c>
      <c r="G1822" s="24">
        <f>AVERAGE(G1812:G1821)</f>
        <v>5.664777777777777</v>
      </c>
      <c r="H1822" s="18"/>
      <c r="I1822" s="18"/>
    </row>
    <row r="1823" spans="2:9" ht="12.75">
      <c r="B1823" s="20"/>
      <c r="C1823" s="21"/>
      <c r="D1823" s="16"/>
      <c r="E1823" s="16"/>
      <c r="F1823" s="22"/>
      <c r="G1823" s="21"/>
      <c r="H1823" s="16"/>
      <c r="I1823" s="70"/>
    </row>
    <row r="1824" spans="1:9" ht="12.75">
      <c r="A1824" s="69" t="s">
        <v>0</v>
      </c>
      <c r="B1824" s="69" t="s">
        <v>1</v>
      </c>
      <c r="C1824" s="70" t="s">
        <v>294</v>
      </c>
      <c r="D1824" s="70" t="s">
        <v>218</v>
      </c>
      <c r="E1824" s="70" t="s">
        <v>73</v>
      </c>
      <c r="F1824" s="70" t="s">
        <v>5</v>
      </c>
      <c r="G1824" s="70" t="s">
        <v>6</v>
      </c>
      <c r="H1824" s="70" t="s">
        <v>7</v>
      </c>
      <c r="I1824" s="70" t="s">
        <v>8</v>
      </c>
    </row>
    <row r="1825" spans="1:9" ht="12.75">
      <c r="A1825" s="69" t="s">
        <v>296</v>
      </c>
      <c r="B1825" s="69" t="s">
        <v>92</v>
      </c>
      <c r="C1825" s="71">
        <f>(5/4)^1.62*E1825</f>
        <v>55.95463354846059</v>
      </c>
      <c r="D1825" s="70">
        <v>53.96</v>
      </c>
      <c r="E1825" s="70">
        <v>38.98</v>
      </c>
      <c r="F1825" s="72">
        <f>-((D1825-C1825)/D1825)</f>
        <v>0.036965039815800425</v>
      </c>
      <c r="G1825" s="71">
        <f>C1825-D1825</f>
        <v>1.994633548460591</v>
      </c>
      <c r="H1825" s="70">
        <v>950</v>
      </c>
      <c r="I1825" s="70" t="s">
        <v>293</v>
      </c>
    </row>
    <row r="1826" spans="1:9" ht="12.75">
      <c r="A1826" s="69"/>
      <c r="B1826" s="69" t="s">
        <v>93</v>
      </c>
      <c r="C1826" s="71">
        <f>(5/4)^1.62*E1826</f>
        <v>39.61898116822762</v>
      </c>
      <c r="D1826" s="70">
        <v>38.71</v>
      </c>
      <c r="E1826" s="70">
        <v>27.6</v>
      </c>
      <c r="F1826" s="72">
        <f>-((D1826-C1826)/D1826)</f>
        <v>0.023481817830731572</v>
      </c>
      <c r="G1826" s="71">
        <f>C1826-D1826</f>
        <v>0.9089811682276192</v>
      </c>
      <c r="H1826" s="70">
        <v>950</v>
      </c>
      <c r="I1826" s="70" t="s">
        <v>293</v>
      </c>
    </row>
    <row r="1827" spans="1:9" ht="12.75">
      <c r="A1827" s="69"/>
      <c r="B1827" s="69" t="s">
        <v>44</v>
      </c>
      <c r="C1827" s="71">
        <f>(5/4)^1.62*E1827</f>
        <v>44.3273238577851</v>
      </c>
      <c r="D1827" s="70">
        <v>42.82</v>
      </c>
      <c r="E1827" s="70">
        <v>30.88</v>
      </c>
      <c r="F1827" s="72">
        <f>-((D1827-C1827)/D1827)</f>
        <v>0.035201397893159805</v>
      </c>
      <c r="G1827" s="71">
        <f>C1827-D1827</f>
        <v>1.507323857785103</v>
      </c>
      <c r="H1827" s="70">
        <v>950</v>
      </c>
      <c r="I1827" s="70" t="s">
        <v>293</v>
      </c>
    </row>
    <row r="1828" spans="1:9" ht="12.75">
      <c r="A1828" s="69"/>
      <c r="B1828" s="69" t="s">
        <v>46</v>
      </c>
      <c r="C1828" s="71">
        <f>(5/4)^1.62*E1828</f>
        <v>28.5084407971377</v>
      </c>
      <c r="D1828" s="70">
        <v>27.84</v>
      </c>
      <c r="E1828" s="70">
        <v>19.86</v>
      </c>
      <c r="F1828" s="72">
        <f>-((D1828-C1828)/D1828)</f>
        <v>0.024010086104083995</v>
      </c>
      <c r="G1828" s="71">
        <f>C1828-D1828</f>
        <v>0.6684407971376984</v>
      </c>
      <c r="H1828" s="70">
        <v>950</v>
      </c>
      <c r="I1828" s="70" t="s">
        <v>293</v>
      </c>
    </row>
    <row r="1829" spans="1:9" ht="12.75">
      <c r="A1829" s="69"/>
      <c r="B1829" s="69" t="s">
        <v>103</v>
      </c>
      <c r="C1829" s="71">
        <f>(5/4)^1.62*E1829</f>
        <v>49.78211112007731</v>
      </c>
      <c r="D1829" s="70">
        <v>49.96</v>
      </c>
      <c r="E1829" s="70">
        <v>34.68</v>
      </c>
      <c r="F1829" s="72">
        <f>-((D1829-C1829)/D1829)</f>
        <v>-0.003560626099333277</v>
      </c>
      <c r="G1829" s="71">
        <f>C1829-D1829</f>
        <v>-0.17788887992269053</v>
      </c>
      <c r="H1829" s="70">
        <v>950</v>
      </c>
      <c r="I1829" s="70" t="s">
        <v>293</v>
      </c>
    </row>
    <row r="1830" spans="1:9" ht="12.75">
      <c r="A1830" s="69"/>
      <c r="B1830" s="69" t="s">
        <v>104</v>
      </c>
      <c r="C1830" s="71">
        <f>(5/4)^1.62*E1830</f>
        <v>42.8631441189593</v>
      </c>
      <c r="D1830" s="70">
        <v>43.06</v>
      </c>
      <c r="E1830" s="70">
        <v>29.86</v>
      </c>
      <c r="F1830" s="72">
        <f>-((D1830-C1830)/D1830)</f>
        <v>-0.004571664678139912</v>
      </c>
      <c r="G1830" s="71">
        <f>C1830-D1830</f>
        <v>-0.19685588104070462</v>
      </c>
      <c r="H1830" s="70">
        <v>950</v>
      </c>
      <c r="I1830" s="70" t="s">
        <v>293</v>
      </c>
    </row>
    <row r="1831" spans="1:9" ht="12.75">
      <c r="A1831" s="69"/>
      <c r="B1831" s="69" t="s">
        <v>105</v>
      </c>
      <c r="C1831" s="71">
        <f>(5/4)^1.62*E1831</f>
        <v>40.0065581579168</v>
      </c>
      <c r="D1831" s="70">
        <v>41.01</v>
      </c>
      <c r="E1831" s="70">
        <v>27.87</v>
      </c>
      <c r="F1831" s="72">
        <f>-((D1831-C1831)/D1831)</f>
        <v>-0.024468223410953387</v>
      </c>
      <c r="G1831" s="71">
        <f>C1831-D1831</f>
        <v>-1.0034418420831983</v>
      </c>
      <c r="H1831" s="70">
        <v>950</v>
      </c>
      <c r="I1831" s="70" t="s">
        <v>293</v>
      </c>
    </row>
    <row r="1832" spans="1:9" ht="12.75">
      <c r="A1832" s="69"/>
      <c r="B1832" s="69" t="s">
        <v>83</v>
      </c>
      <c r="C1832" s="71">
        <f>(5/4)^1.62*E1832</f>
        <v>50.1122692964792</v>
      </c>
      <c r="D1832" s="70">
        <v>49.82</v>
      </c>
      <c r="E1832" s="70">
        <v>34.91</v>
      </c>
      <c r="F1832" s="72">
        <f>-((D1832-C1832)/D1832)</f>
        <v>0.005866505348839778</v>
      </c>
      <c r="G1832" s="71">
        <f>C1832-D1832</f>
        <v>0.29226929647919775</v>
      </c>
      <c r="H1832" s="70">
        <v>950</v>
      </c>
      <c r="I1832" s="70" t="s">
        <v>293</v>
      </c>
    </row>
    <row r="1833" spans="2:9" ht="12.75">
      <c r="B1833" s="69" t="s">
        <v>84</v>
      </c>
      <c r="C1833" s="71">
        <f>(5/4)^1.62*E1833</f>
        <v>33.01581764018968</v>
      </c>
      <c r="D1833" s="70">
        <v>33.35</v>
      </c>
      <c r="E1833" s="70">
        <v>23</v>
      </c>
      <c r="F1833" s="72">
        <f>-((D1833-C1833)/D1833)</f>
        <v>-0.010020460564027597</v>
      </c>
      <c r="G1833" s="71">
        <f>C1833-D1833</f>
        <v>-0.3341823598103204</v>
      </c>
      <c r="H1833" s="70">
        <v>950</v>
      </c>
      <c r="I1833" s="70" t="s">
        <v>293</v>
      </c>
    </row>
    <row r="1834" spans="2:9" ht="12.75">
      <c r="B1834" s="69" t="s">
        <v>71</v>
      </c>
      <c r="C1834" s="71">
        <f>(5/4)^1.62*E1834</f>
        <v>28.494086093815877</v>
      </c>
      <c r="D1834" s="70">
        <v>28.79</v>
      </c>
      <c r="E1834" s="70">
        <v>19.85</v>
      </c>
      <c r="F1834" s="72">
        <f>-((D1834-C1834)/D1834)</f>
        <v>-0.01027835728322758</v>
      </c>
      <c r="G1834" s="71">
        <f>C1834-D1834</f>
        <v>-0.29591390618412206</v>
      </c>
      <c r="H1834" s="70">
        <v>950</v>
      </c>
      <c r="I1834" s="70" t="s">
        <v>293</v>
      </c>
    </row>
    <row r="1835" spans="2:9" ht="12.75">
      <c r="B1835" s="69" t="s">
        <v>50</v>
      </c>
      <c r="C1835" s="71">
        <f>(5/4)^1.62*E1835</f>
        <v>40.207524004422304</v>
      </c>
      <c r="D1835" s="70">
        <v>40.63</v>
      </c>
      <c r="E1835" s="70">
        <v>28.01</v>
      </c>
      <c r="F1835" s="72">
        <f>-((D1835-C1835)/D1835)</f>
        <v>-0.010398129352146169</v>
      </c>
      <c r="G1835" s="71">
        <f>C1835-D1835</f>
        <v>-0.4224759955776989</v>
      </c>
      <c r="H1835" s="70">
        <v>950</v>
      </c>
      <c r="I1835" s="70" t="s">
        <v>293</v>
      </c>
    </row>
    <row r="1836" spans="2:9" ht="12.75">
      <c r="B1836" s="69" t="s">
        <v>52</v>
      </c>
      <c r="C1836" s="71">
        <f>(5/4)^1.62*E1836</f>
        <v>30.618582185445472</v>
      </c>
      <c r="D1836" s="70">
        <v>32.38</v>
      </c>
      <c r="E1836" s="70">
        <v>21.33</v>
      </c>
      <c r="F1836" s="72">
        <f>-((D1836-C1836)/D1836)</f>
        <v>-0.054398326576730396</v>
      </c>
      <c r="G1836" s="71">
        <f>C1836-D1836</f>
        <v>-1.7614178145545303</v>
      </c>
      <c r="H1836" s="70">
        <v>950</v>
      </c>
      <c r="I1836" s="70" t="s">
        <v>293</v>
      </c>
    </row>
    <row r="1837" spans="2:9" ht="12.75">
      <c r="B1837" s="69"/>
      <c r="C1837" s="71"/>
      <c r="D1837" s="70"/>
      <c r="E1837" s="70" t="s">
        <v>14</v>
      </c>
      <c r="F1837" s="72">
        <f>AVERAGE(F1825:F1836)</f>
        <v>0.0006524215856714378</v>
      </c>
      <c r="G1837" s="71">
        <f>AVERAGE(G1825:G1836)</f>
        <v>0.09828933240974536</v>
      </c>
      <c r="H1837" s="70"/>
      <c r="I1837" s="70"/>
    </row>
    <row r="1838" spans="2:9" ht="12.75">
      <c r="B1838" s="69"/>
      <c r="C1838" s="71"/>
      <c r="D1838" s="70"/>
      <c r="E1838" s="70"/>
      <c r="F1838" s="72"/>
      <c r="G1838" s="71"/>
      <c r="H1838" s="70"/>
      <c r="I1838" s="70"/>
    </row>
    <row r="1839" spans="1:9" ht="12.75">
      <c r="A1839" s="73" t="s">
        <v>0</v>
      </c>
      <c r="B1839" s="73" t="s">
        <v>1</v>
      </c>
      <c r="C1839" s="74" t="s">
        <v>219</v>
      </c>
      <c r="D1839" s="74" t="s">
        <v>218</v>
      </c>
      <c r="E1839" s="74" t="s">
        <v>73</v>
      </c>
      <c r="F1839" s="74" t="s">
        <v>5</v>
      </c>
      <c r="G1839" s="74" t="s">
        <v>6</v>
      </c>
      <c r="H1839" s="74" t="s">
        <v>7</v>
      </c>
      <c r="I1839" s="74" t="s">
        <v>8</v>
      </c>
    </row>
    <row r="1840" spans="1:9" ht="12.75">
      <c r="A1840" s="73" t="s">
        <v>296</v>
      </c>
      <c r="B1840" s="73" t="s">
        <v>92</v>
      </c>
      <c r="C1840" s="75">
        <f>(5/4)^2*E1840</f>
        <v>60.90624999999999</v>
      </c>
      <c r="D1840" s="74">
        <v>53.96</v>
      </c>
      <c r="E1840" s="74">
        <v>38.98</v>
      </c>
      <c r="F1840" s="76">
        <f>-((D1840-C1840)/D1840)</f>
        <v>0.1287296145292808</v>
      </c>
      <c r="G1840" s="75">
        <f>C1840-D1840</f>
        <v>6.946249999999992</v>
      </c>
      <c r="H1840" s="74">
        <v>950</v>
      </c>
      <c r="I1840" s="74" t="s">
        <v>293</v>
      </c>
    </row>
    <row r="1841" spans="1:9" ht="12.75">
      <c r="A1841" s="73"/>
      <c r="B1841" s="73" t="s">
        <v>93</v>
      </c>
      <c r="C1841" s="75">
        <f>(5/4)^2*E1841</f>
        <v>43.125</v>
      </c>
      <c r="D1841" s="74">
        <v>38.71</v>
      </c>
      <c r="E1841" s="74">
        <v>27.6</v>
      </c>
      <c r="F1841" s="76">
        <f>-((D1841-C1841)/D1841)</f>
        <v>0.11405321622319811</v>
      </c>
      <c r="G1841" s="75">
        <f>C1841-D1841</f>
        <v>4.414999999999999</v>
      </c>
      <c r="H1841" s="74">
        <v>950</v>
      </c>
      <c r="I1841" s="74" t="s">
        <v>293</v>
      </c>
    </row>
    <row r="1842" spans="1:9" ht="12.75">
      <c r="A1842" s="73"/>
      <c r="B1842" s="73" t="s">
        <v>44</v>
      </c>
      <c r="C1842" s="75">
        <f>(5/4)^2*E1842</f>
        <v>48.25</v>
      </c>
      <c r="D1842" s="74">
        <v>42.82</v>
      </c>
      <c r="E1842" s="74">
        <v>30.88</v>
      </c>
      <c r="F1842" s="76">
        <f>-((D1842-C1842)/D1842)</f>
        <v>0.12680990191499297</v>
      </c>
      <c r="G1842" s="75">
        <f>C1842-D1842</f>
        <v>5.43</v>
      </c>
      <c r="H1842" s="74">
        <v>950</v>
      </c>
      <c r="I1842" s="74" t="s">
        <v>293</v>
      </c>
    </row>
    <row r="1843" spans="1:9" ht="12.75">
      <c r="A1843" s="73"/>
      <c r="B1843" s="73" t="s">
        <v>46</v>
      </c>
      <c r="C1843" s="75">
        <f>(5/4)^2*E1843</f>
        <v>31.03125</v>
      </c>
      <c r="D1843" s="74">
        <v>27.84</v>
      </c>
      <c r="E1843" s="74">
        <v>19.86</v>
      </c>
      <c r="F1843" s="76">
        <f>-((D1843-C1843)/D1843)</f>
        <v>0.11462823275862069</v>
      </c>
      <c r="G1843" s="75">
        <f>C1843-D1843</f>
        <v>3.19125</v>
      </c>
      <c r="H1843" s="74">
        <v>950</v>
      </c>
      <c r="I1843" s="74" t="s">
        <v>293</v>
      </c>
    </row>
    <row r="1844" spans="1:9" ht="12.75">
      <c r="A1844" s="73"/>
      <c r="B1844" s="73" t="s">
        <v>103</v>
      </c>
      <c r="C1844" s="75">
        <f>(5/4)^2*E1844</f>
        <v>54.1875</v>
      </c>
      <c r="D1844" s="74">
        <v>49.96</v>
      </c>
      <c r="E1844" s="74">
        <v>34.68</v>
      </c>
      <c r="F1844" s="76">
        <f>-((D1844-C1844)/D1844)</f>
        <v>0.08461769415532425</v>
      </c>
      <c r="G1844" s="75">
        <f>C1844-D1844</f>
        <v>4.227499999999999</v>
      </c>
      <c r="H1844" s="74">
        <v>950</v>
      </c>
      <c r="I1844" s="74" t="s">
        <v>293</v>
      </c>
    </row>
    <row r="1845" spans="1:9" ht="12.75">
      <c r="A1845" s="73"/>
      <c r="B1845" s="73" t="s">
        <v>104</v>
      </c>
      <c r="C1845" s="75">
        <f>(5/4)^2*E1845</f>
        <v>46.65625</v>
      </c>
      <c r="D1845" s="74">
        <v>43.06</v>
      </c>
      <c r="E1845" s="74">
        <v>29.86</v>
      </c>
      <c r="F1845" s="76">
        <f>-((D1845-C1845)/D1845)</f>
        <v>0.08351718532280533</v>
      </c>
      <c r="G1845" s="75">
        <f>C1845-D1845</f>
        <v>3.5962499999999977</v>
      </c>
      <c r="H1845" s="74">
        <v>950</v>
      </c>
      <c r="I1845" s="74" t="s">
        <v>293</v>
      </c>
    </row>
    <row r="1846" spans="1:9" ht="12.75">
      <c r="A1846" s="73"/>
      <c r="B1846" s="73" t="s">
        <v>105</v>
      </c>
      <c r="C1846" s="75">
        <f>(5/4)^2*E1846</f>
        <v>43.546875</v>
      </c>
      <c r="D1846" s="74">
        <v>41.01</v>
      </c>
      <c r="E1846" s="74">
        <v>27.87</v>
      </c>
      <c r="F1846" s="76">
        <f>-((D1846-C1846)/D1846)</f>
        <v>0.06185991221653261</v>
      </c>
      <c r="G1846" s="75">
        <f>C1846-D1846</f>
        <v>2.536875000000002</v>
      </c>
      <c r="H1846" s="74">
        <v>950</v>
      </c>
      <c r="I1846" s="74" t="s">
        <v>293</v>
      </c>
    </row>
    <row r="1847" spans="1:9" ht="12.75">
      <c r="A1847" s="73"/>
      <c r="B1847" s="73" t="s">
        <v>83</v>
      </c>
      <c r="C1847" s="75">
        <f>(5/4)^2*E1847</f>
        <v>54.54687499999999</v>
      </c>
      <c r="D1847" s="74">
        <v>49.82</v>
      </c>
      <c r="E1847" s="74">
        <v>34.91</v>
      </c>
      <c r="F1847" s="76">
        <f>-((D1847-C1847)/D1847)</f>
        <v>0.09487906463267749</v>
      </c>
      <c r="G1847" s="75">
        <f>C1847-D1847</f>
        <v>4.726874999999993</v>
      </c>
      <c r="H1847" s="74">
        <v>950</v>
      </c>
      <c r="I1847" s="74" t="s">
        <v>293</v>
      </c>
    </row>
    <row r="1848" spans="1:9" ht="12.75">
      <c r="A1848" s="5"/>
      <c r="B1848" s="73" t="s">
        <v>84</v>
      </c>
      <c r="C1848" s="75">
        <f>(5/4)^2*E1848</f>
        <v>35.9375</v>
      </c>
      <c r="D1848" s="74">
        <v>33.35</v>
      </c>
      <c r="E1848" s="74">
        <v>23</v>
      </c>
      <c r="F1848" s="76">
        <f>-((D1848-C1848)/D1848)</f>
        <v>0.07758620689655168</v>
      </c>
      <c r="G1848" s="75">
        <f>C1848-D1848</f>
        <v>2.5874999999999986</v>
      </c>
      <c r="H1848" s="74">
        <v>950</v>
      </c>
      <c r="I1848" s="74" t="s">
        <v>293</v>
      </c>
    </row>
    <row r="1849" spans="1:9" ht="12.75">
      <c r="A1849" s="5"/>
      <c r="B1849" s="73" t="s">
        <v>71</v>
      </c>
      <c r="C1849" s="75">
        <f>(5/4)^2*E1849</f>
        <v>31.015625000000004</v>
      </c>
      <c r="D1849" s="74">
        <v>28.79</v>
      </c>
      <c r="E1849" s="74">
        <v>19.85</v>
      </c>
      <c r="F1849" s="76">
        <f>-((D1849-C1849)/D1849)</f>
        <v>0.07730548801667261</v>
      </c>
      <c r="G1849" s="75">
        <f>C1849-D1849</f>
        <v>2.2256250000000044</v>
      </c>
      <c r="H1849" s="74">
        <v>950</v>
      </c>
      <c r="I1849" s="74" t="s">
        <v>293</v>
      </c>
    </row>
    <row r="1850" spans="1:9" ht="12.75">
      <c r="A1850" s="5"/>
      <c r="B1850" s="73" t="s">
        <v>50</v>
      </c>
      <c r="C1850" s="75">
        <f>(5/4)^2*E1850</f>
        <v>43.765625</v>
      </c>
      <c r="D1850" s="74">
        <v>40.63</v>
      </c>
      <c r="E1850" s="74">
        <v>28.01</v>
      </c>
      <c r="F1850" s="76">
        <f>-((D1850-C1850)/D1850)</f>
        <v>0.0771751169086881</v>
      </c>
      <c r="G1850" s="75">
        <f>C1850-D1850</f>
        <v>3.1356249999999974</v>
      </c>
      <c r="H1850" s="74">
        <v>950</v>
      </c>
      <c r="I1850" s="74" t="s">
        <v>293</v>
      </c>
    </row>
    <row r="1851" spans="1:9" ht="12.75">
      <c r="A1851" s="5"/>
      <c r="B1851" s="73" t="s">
        <v>52</v>
      </c>
      <c r="C1851" s="75">
        <f>(5/4)^2*E1851</f>
        <v>33.328125</v>
      </c>
      <c r="D1851" s="74">
        <v>32.38</v>
      </c>
      <c r="E1851" s="74">
        <v>21.33</v>
      </c>
      <c r="F1851" s="76">
        <f>-((D1851-C1851)/D1851)</f>
        <v>0.029281192093885033</v>
      </c>
      <c r="G1851" s="75">
        <f>C1851-D1851</f>
        <v>0.9481249999999974</v>
      </c>
      <c r="H1851" s="74">
        <v>950</v>
      </c>
      <c r="I1851" s="74" t="s">
        <v>293</v>
      </c>
    </row>
    <row r="1852" spans="1:9" ht="12.75">
      <c r="A1852" s="5"/>
      <c r="B1852" s="73"/>
      <c r="C1852" s="75"/>
      <c r="D1852" s="74"/>
      <c r="E1852" s="74" t="s">
        <v>14</v>
      </c>
      <c r="F1852" s="76">
        <f>AVERAGE(F1840:F1851)</f>
        <v>0.08920356880576913</v>
      </c>
      <c r="G1852" s="75">
        <f>AVERAGE(G1840:G1851)</f>
        <v>3.6639062499999984</v>
      </c>
      <c r="H1852" s="74"/>
      <c r="I1852" s="74"/>
    </row>
    <row r="1853" spans="2:9" ht="12.75">
      <c r="B1853" s="20"/>
      <c r="C1853" s="20"/>
      <c r="D1853" s="16"/>
      <c r="E1853" s="16"/>
      <c r="F1853" s="16"/>
      <c r="G1853" s="16"/>
      <c r="H1853" s="70"/>
      <c r="I1853" s="70"/>
    </row>
    <row r="1854" spans="1:9" ht="12.75">
      <c r="A1854" s="79" t="s">
        <v>0</v>
      </c>
      <c r="B1854" s="79" t="s">
        <v>1</v>
      </c>
      <c r="C1854" s="80" t="s">
        <v>297</v>
      </c>
      <c r="D1854" s="80" t="s">
        <v>194</v>
      </c>
      <c r="E1854" s="80" t="s">
        <v>218</v>
      </c>
      <c r="F1854" s="80" t="s">
        <v>5</v>
      </c>
      <c r="G1854" s="80" t="s">
        <v>6</v>
      </c>
      <c r="H1854" s="80" t="s">
        <v>7</v>
      </c>
      <c r="I1854" s="80" t="s">
        <v>8</v>
      </c>
    </row>
    <row r="1855" spans="1:9" ht="12.75">
      <c r="A1855" s="79" t="s">
        <v>296</v>
      </c>
      <c r="B1855" s="79" t="s">
        <v>44</v>
      </c>
      <c r="C1855" s="81">
        <f>(6/5)^1.7*E1855</f>
        <v>58.3787485963877</v>
      </c>
      <c r="D1855" s="80">
        <v>55.8</v>
      </c>
      <c r="E1855" s="80">
        <v>42.82</v>
      </c>
      <c r="F1855" s="82">
        <f>-((D1855-C1855)/D1855)</f>
        <v>0.04621413255175098</v>
      </c>
      <c r="G1855" s="81">
        <f>C1855-D1855</f>
        <v>2.5787485963877046</v>
      </c>
      <c r="H1855" s="80">
        <v>950</v>
      </c>
      <c r="I1855" s="80" t="s">
        <v>293</v>
      </c>
    </row>
    <row r="1856" spans="2:9" ht="12.75">
      <c r="B1856" s="79" t="s">
        <v>46</v>
      </c>
      <c r="C1856" s="81">
        <f>(6/5)^1.7*E1856</f>
        <v>37.95573005426048</v>
      </c>
      <c r="D1856" s="80">
        <v>36.31</v>
      </c>
      <c r="E1856" s="80">
        <v>27.84</v>
      </c>
      <c r="F1856" s="82">
        <f>-((D1856-C1856)/D1856)</f>
        <v>0.04532443002645209</v>
      </c>
      <c r="G1856" s="81">
        <f>C1856-D1856</f>
        <v>1.6457300542604756</v>
      </c>
      <c r="H1856" s="80">
        <v>950</v>
      </c>
      <c r="I1856" s="80" t="s">
        <v>293</v>
      </c>
    </row>
    <row r="1857" spans="2:9" ht="12.75">
      <c r="B1857" s="79" t="s">
        <v>84</v>
      </c>
      <c r="C1857" s="81">
        <f>(6/5)^1.7*E1857</f>
        <v>45.467801627499526</v>
      </c>
      <c r="D1857" s="80">
        <v>46.07</v>
      </c>
      <c r="E1857" s="80">
        <v>33.35</v>
      </c>
      <c r="F1857" s="82">
        <f>-((D1857-C1857)/D1857)</f>
        <v>-0.01307137774040535</v>
      </c>
      <c r="G1857" s="81">
        <f>C1857-D1857</f>
        <v>-0.6021983725004745</v>
      </c>
      <c r="H1857" s="80">
        <v>950</v>
      </c>
      <c r="I1857" s="80" t="s">
        <v>293</v>
      </c>
    </row>
    <row r="1858" spans="2:9" ht="12.75">
      <c r="B1858" s="79" t="s">
        <v>71</v>
      </c>
      <c r="C1858" s="81">
        <f>(6/5)^1.7*E1858</f>
        <v>39.250914808267204</v>
      </c>
      <c r="D1858" s="80">
        <v>39.67</v>
      </c>
      <c r="E1858" s="80">
        <v>28.79</v>
      </c>
      <c r="F1858" s="82">
        <f>-((D1858-C1858)/D1858)</f>
        <v>-0.010564285145772562</v>
      </c>
      <c r="G1858" s="81">
        <f>C1858-D1858</f>
        <v>-0.41908519173279757</v>
      </c>
      <c r="H1858" s="80">
        <v>950</v>
      </c>
      <c r="I1858" s="80" t="s">
        <v>293</v>
      </c>
    </row>
    <row r="1859" spans="2:9" ht="12.75">
      <c r="B1859" s="79" t="s">
        <v>52</v>
      </c>
      <c r="C1859" s="81">
        <f>(6/5)^1.7*E1859</f>
        <v>44.145349826040025</v>
      </c>
      <c r="D1859" s="80">
        <v>45.58</v>
      </c>
      <c r="E1859" s="80">
        <v>32.38</v>
      </c>
      <c r="F1859" s="82">
        <f>-((D1859-C1859)/D1859)</f>
        <v>-0.03147543163580459</v>
      </c>
      <c r="G1859" s="81">
        <f>C1859-D1859</f>
        <v>-1.434650173959973</v>
      </c>
      <c r="H1859" s="80">
        <v>950</v>
      </c>
      <c r="I1859" s="80" t="s">
        <v>293</v>
      </c>
    </row>
    <row r="1860" spans="2:9" ht="12.75">
      <c r="B1860" s="79" t="s">
        <v>51</v>
      </c>
      <c r="C1860" s="81">
        <f>(6/5)^1.7*E1860</f>
        <v>27.662419640838543</v>
      </c>
      <c r="D1860" s="80">
        <v>28.23</v>
      </c>
      <c r="E1860" s="80">
        <v>20.29</v>
      </c>
      <c r="F1860" s="82">
        <f>-((D1860-C1860)/D1860)</f>
        <v>-0.020105574182127432</v>
      </c>
      <c r="G1860" s="81">
        <f>C1860-D1860</f>
        <v>-0.5675803591614574</v>
      </c>
      <c r="H1860" s="80">
        <v>950</v>
      </c>
      <c r="I1860" s="80" t="s">
        <v>293</v>
      </c>
    </row>
    <row r="1861" spans="2:9" ht="12.75">
      <c r="B1861" s="79" t="s">
        <v>67</v>
      </c>
      <c r="C1861" s="81">
        <f>(6/5)^1.7*E1861</f>
        <v>24.11770347197801</v>
      </c>
      <c r="D1861" s="80">
        <v>24.44</v>
      </c>
      <c r="E1861" s="80">
        <v>17.69</v>
      </c>
      <c r="F1861" s="82">
        <f>-((D1861-C1861)/D1861)</f>
        <v>-0.013187255647380942</v>
      </c>
      <c r="G1861" s="81">
        <f>C1861-D1861</f>
        <v>-0.32229652802199027</v>
      </c>
      <c r="H1861" s="80">
        <v>950</v>
      </c>
      <c r="I1861" s="80" t="s">
        <v>293</v>
      </c>
    </row>
    <row r="1862" spans="2:9" ht="12.75">
      <c r="B1862" s="79"/>
      <c r="C1862" s="81"/>
      <c r="D1862" s="80"/>
      <c r="E1862" s="80" t="s">
        <v>14</v>
      </c>
      <c r="F1862" s="82">
        <f>AVERAGE(F1855:F1861)</f>
        <v>0.00044780546095888566</v>
      </c>
      <c r="G1862" s="81">
        <f>AVERAGE(G1855:G1861)</f>
        <v>0.1255240036102125</v>
      </c>
      <c r="H1862" s="80"/>
      <c r="I1862" s="80"/>
    </row>
    <row r="1863" spans="2:9" ht="12.75">
      <c r="B1863" s="79"/>
      <c r="C1863" s="81"/>
      <c r="D1863" s="80"/>
      <c r="E1863" s="80"/>
      <c r="F1863" s="82"/>
      <c r="G1863" s="81"/>
      <c r="H1863" s="80"/>
      <c r="I1863" s="80"/>
    </row>
    <row r="1864" spans="1:9" ht="12.75">
      <c r="A1864" s="83" t="s">
        <v>0</v>
      </c>
      <c r="B1864" s="83" t="s">
        <v>1</v>
      </c>
      <c r="C1864" s="84" t="s">
        <v>247</v>
      </c>
      <c r="D1864" s="84" t="s">
        <v>194</v>
      </c>
      <c r="E1864" s="84" t="s">
        <v>218</v>
      </c>
      <c r="F1864" s="84" t="s">
        <v>5</v>
      </c>
      <c r="G1864" s="84" t="s">
        <v>6</v>
      </c>
      <c r="H1864" s="84" t="s">
        <v>7</v>
      </c>
      <c r="I1864" s="84" t="s">
        <v>8</v>
      </c>
    </row>
    <row r="1865" spans="1:9" ht="12.75">
      <c r="A1865" s="83" t="s">
        <v>296</v>
      </c>
      <c r="B1865" s="83" t="s">
        <v>44</v>
      </c>
      <c r="C1865" s="85">
        <f>(6/5)^2*E1865</f>
        <v>61.660799999999995</v>
      </c>
      <c r="D1865" s="84">
        <v>55.8</v>
      </c>
      <c r="E1865" s="84">
        <v>42.82</v>
      </c>
      <c r="F1865" s="86">
        <f>-((D1865-C1865)/D1865)</f>
        <v>0.10503225806451609</v>
      </c>
      <c r="G1865" s="85">
        <f>C1865-D1865</f>
        <v>5.860799999999998</v>
      </c>
      <c r="H1865" s="84">
        <v>950</v>
      </c>
      <c r="I1865" s="84" t="s">
        <v>293</v>
      </c>
    </row>
    <row r="1866" spans="1:9" ht="12.75">
      <c r="A1866" s="5"/>
      <c r="B1866" s="83" t="s">
        <v>46</v>
      </c>
      <c r="C1866" s="85">
        <f>(6/5)^2*E1866</f>
        <v>40.0896</v>
      </c>
      <c r="D1866" s="84">
        <v>36.31</v>
      </c>
      <c r="E1866" s="84">
        <v>27.84</v>
      </c>
      <c r="F1866" s="86">
        <f>-((D1866-C1866)/D1866)</f>
        <v>0.10409253649132456</v>
      </c>
      <c r="G1866" s="85">
        <f>C1866-D1866</f>
        <v>3.779599999999995</v>
      </c>
      <c r="H1866" s="84">
        <v>950</v>
      </c>
      <c r="I1866" s="84" t="s">
        <v>293</v>
      </c>
    </row>
    <row r="1867" spans="1:9" ht="12.75">
      <c r="A1867" s="5"/>
      <c r="B1867" s="83" t="s">
        <v>84</v>
      </c>
      <c r="C1867" s="85">
        <f>(6/5)^2*E1867</f>
        <v>48.024</v>
      </c>
      <c r="D1867" s="84">
        <v>46.07</v>
      </c>
      <c r="E1867" s="84">
        <v>33.35</v>
      </c>
      <c r="F1867" s="86">
        <f>-((D1867-C1867)/D1867)</f>
        <v>0.04241371825482962</v>
      </c>
      <c r="G1867" s="85">
        <f>C1867-D1867</f>
        <v>1.9540000000000006</v>
      </c>
      <c r="H1867" s="84">
        <v>950</v>
      </c>
      <c r="I1867" s="84" t="s">
        <v>293</v>
      </c>
    </row>
    <row r="1868" spans="1:9" ht="12.75">
      <c r="A1868" s="5"/>
      <c r="B1868" s="83" t="s">
        <v>71</v>
      </c>
      <c r="C1868" s="85">
        <f>(6/5)^2*E1868</f>
        <v>41.4576</v>
      </c>
      <c r="D1868" s="84">
        <v>39.67</v>
      </c>
      <c r="E1868" s="84">
        <v>28.79</v>
      </c>
      <c r="F1868" s="86">
        <f>-((D1868-C1868)/D1868)</f>
        <v>0.045061759516006994</v>
      </c>
      <c r="G1868" s="85">
        <f>C1868-D1868</f>
        <v>1.7875999999999976</v>
      </c>
      <c r="H1868" s="84">
        <v>950</v>
      </c>
      <c r="I1868" s="84" t="s">
        <v>293</v>
      </c>
    </row>
    <row r="1869" spans="1:9" ht="12.75">
      <c r="A1869" s="5"/>
      <c r="B1869" s="83" t="s">
        <v>52</v>
      </c>
      <c r="C1869" s="85">
        <f>(6/5)^2*E1869</f>
        <v>46.6272</v>
      </c>
      <c r="D1869" s="84">
        <v>45.58</v>
      </c>
      <c r="E1869" s="84">
        <v>32.38</v>
      </c>
      <c r="F1869" s="86">
        <f>-((D1869-C1869)/D1869)</f>
        <v>0.02297498903027652</v>
      </c>
      <c r="G1869" s="85">
        <f>C1869-D1869</f>
        <v>1.0472000000000037</v>
      </c>
      <c r="H1869" s="84">
        <v>950</v>
      </c>
      <c r="I1869" s="84" t="s">
        <v>293</v>
      </c>
    </row>
    <row r="1870" spans="1:9" ht="12.75">
      <c r="A1870" s="5"/>
      <c r="B1870" s="83" t="s">
        <v>51</v>
      </c>
      <c r="C1870" s="85">
        <f>(6/5)^2*E1870</f>
        <v>29.217599999999997</v>
      </c>
      <c r="D1870" s="84">
        <v>28.23</v>
      </c>
      <c r="E1870" s="84">
        <v>20.29</v>
      </c>
      <c r="F1870" s="86">
        <f>-((D1870-C1870)/D1870)</f>
        <v>0.03498405951115823</v>
      </c>
      <c r="G1870" s="85">
        <f>C1870-D1870</f>
        <v>0.9875999999999969</v>
      </c>
      <c r="H1870" s="84">
        <v>950</v>
      </c>
      <c r="I1870" s="84" t="s">
        <v>293</v>
      </c>
    </row>
    <row r="1871" spans="1:9" ht="12.75">
      <c r="A1871" s="5"/>
      <c r="B1871" s="83" t="s">
        <v>67</v>
      </c>
      <c r="C1871" s="85">
        <f>(6/5)^2*E1871</f>
        <v>25.4736</v>
      </c>
      <c r="D1871" s="84">
        <v>24.44</v>
      </c>
      <c r="E1871" s="84">
        <v>17.69</v>
      </c>
      <c r="F1871" s="86">
        <f>-((D1871-C1871)/D1871)</f>
        <v>0.04229132569558101</v>
      </c>
      <c r="G1871" s="85">
        <f>C1871-D1871</f>
        <v>1.0335999999999999</v>
      </c>
      <c r="H1871" s="84">
        <v>950</v>
      </c>
      <c r="I1871" s="84" t="s">
        <v>293</v>
      </c>
    </row>
    <row r="1872" spans="1:9" ht="12.75">
      <c r="A1872" s="5"/>
      <c r="B1872" s="83"/>
      <c r="C1872" s="85"/>
      <c r="D1872" s="84"/>
      <c r="E1872" s="84" t="s">
        <v>14</v>
      </c>
      <c r="F1872" s="86">
        <f>AVERAGE(F1865:F1871)</f>
        <v>0.05669294950909901</v>
      </c>
      <c r="G1872" s="85">
        <f>AVERAGE(G1865:G1871)</f>
        <v>2.3500571428571417</v>
      </c>
      <c r="H1872" s="84"/>
      <c r="I1872" s="84"/>
    </row>
    <row r="1873" spans="2:9" ht="12.75">
      <c r="B1873" s="79"/>
      <c r="C1873" s="81"/>
      <c r="D1873" s="80"/>
      <c r="E1873" s="80"/>
      <c r="F1873" s="82"/>
      <c r="G1873" s="81"/>
      <c r="H1873" s="80"/>
      <c r="I1873" s="70"/>
    </row>
    <row r="1874" spans="1:9" ht="12.75">
      <c r="A1874" s="20" t="s">
        <v>0</v>
      </c>
      <c r="B1874" s="20" t="s">
        <v>1</v>
      </c>
      <c r="C1874" s="16" t="s">
        <v>254</v>
      </c>
      <c r="D1874" s="16" t="s">
        <v>73</v>
      </c>
      <c r="E1874" s="16" t="s">
        <v>3</v>
      </c>
      <c r="F1874" s="16" t="s">
        <v>5</v>
      </c>
      <c r="G1874" s="16" t="s">
        <v>6</v>
      </c>
      <c r="H1874" s="16" t="s">
        <v>7</v>
      </c>
      <c r="I1874" s="16" t="s">
        <v>8</v>
      </c>
    </row>
    <row r="1875" spans="1:9" ht="12.75">
      <c r="A1875" s="20" t="s">
        <v>298</v>
      </c>
      <c r="B1875" s="20" t="s">
        <v>101</v>
      </c>
      <c r="C1875" s="21">
        <f>(4/3)^1.51*E1875</f>
        <v>27.406643440129216</v>
      </c>
      <c r="D1875" s="16">
        <v>26.44</v>
      </c>
      <c r="E1875" s="16">
        <v>17.75</v>
      </c>
      <c r="F1875" s="22">
        <f>-((D1875-C1875)/D1875)</f>
        <v>0.03655988805329857</v>
      </c>
      <c r="G1875" s="21">
        <f>C1875-D1875</f>
        <v>0.9666434401292143</v>
      </c>
      <c r="H1875" s="16">
        <v>740</v>
      </c>
      <c r="I1875" s="16" t="s">
        <v>293</v>
      </c>
    </row>
    <row r="1876" spans="2:9" ht="12.75">
      <c r="B1876" s="20" t="s">
        <v>299</v>
      </c>
      <c r="C1876" s="21">
        <f>(4/3)^1.51*E1876</f>
        <v>29.027881502784748</v>
      </c>
      <c r="D1876" s="16">
        <v>28.08</v>
      </c>
      <c r="E1876" s="16">
        <v>18.8</v>
      </c>
      <c r="F1876" s="22">
        <f>-((D1876-C1876)/D1876)</f>
        <v>0.033756463774385674</v>
      </c>
      <c r="G1876" s="21">
        <f>C1876-D1876</f>
        <v>0.9478815027847496</v>
      </c>
      <c r="H1876" s="16">
        <v>740</v>
      </c>
      <c r="I1876" s="16" t="s">
        <v>293</v>
      </c>
    </row>
    <row r="1877" spans="2:9" ht="12.75">
      <c r="B1877" s="20" t="s">
        <v>300</v>
      </c>
      <c r="C1877" s="21">
        <f>(4/3)^1.51*E1877</f>
        <v>39.187640028759404</v>
      </c>
      <c r="D1877" s="16">
        <v>38.04</v>
      </c>
      <c r="E1877" s="16">
        <v>25.38</v>
      </c>
      <c r="F1877" s="22">
        <f>-((D1877-C1877)/D1877)</f>
        <v>0.03016929623447436</v>
      </c>
      <c r="G1877" s="21">
        <f>C1877-D1877</f>
        <v>1.1476400287594046</v>
      </c>
      <c r="H1877" s="16">
        <v>740</v>
      </c>
      <c r="I1877" s="16" t="s">
        <v>293</v>
      </c>
    </row>
    <row r="1878" spans="2:9" ht="12.75">
      <c r="B1878" s="20" t="s">
        <v>301</v>
      </c>
      <c r="C1878" s="21">
        <f>(4/3)^1.51*E1878</f>
        <v>28.734514615256604</v>
      </c>
      <c r="D1878" s="16">
        <v>28.02</v>
      </c>
      <c r="E1878" s="16">
        <v>18.61</v>
      </c>
      <c r="F1878" s="22">
        <f>-((D1878-C1878)/D1878)</f>
        <v>0.025500164712940906</v>
      </c>
      <c r="G1878" s="21">
        <f>C1878-D1878</f>
        <v>0.7145146152566042</v>
      </c>
      <c r="H1878" s="16">
        <v>740</v>
      </c>
      <c r="I1878" s="16" t="s">
        <v>293</v>
      </c>
    </row>
    <row r="1879" spans="2:9" ht="12.75">
      <c r="B1879" s="20" t="s">
        <v>91</v>
      </c>
      <c r="C1879" s="21">
        <f>(4/3)^1.51*E1879</f>
        <v>25.97068972749146</v>
      </c>
      <c r="D1879" s="16">
        <v>25.51</v>
      </c>
      <c r="E1879" s="16">
        <v>16.82</v>
      </c>
      <c r="F1879" s="22">
        <f>-((D1879-C1879)/D1879)</f>
        <v>0.01805918179111954</v>
      </c>
      <c r="G1879" s="21">
        <f>C1879-D1879</f>
        <v>0.4606897274914594</v>
      </c>
      <c r="H1879" s="16">
        <v>740</v>
      </c>
      <c r="I1879" s="16" t="s">
        <v>293</v>
      </c>
    </row>
    <row r="1880" spans="2:9" ht="12.75">
      <c r="B1880" s="20" t="s">
        <v>243</v>
      </c>
      <c r="C1880" s="21">
        <f>(4/3)^1.51*E1880</f>
        <v>31.853467840555815</v>
      </c>
      <c r="D1880" s="16">
        <v>31.89</v>
      </c>
      <c r="E1880" s="16">
        <v>20.63</v>
      </c>
      <c r="F1880" s="22">
        <f>-((D1880-C1880)/D1880)</f>
        <v>-0.0011455678721914455</v>
      </c>
      <c r="G1880" s="21">
        <f>C1880-D1880</f>
        <v>-0.0365321594441852</v>
      </c>
      <c r="H1880" s="16">
        <v>740</v>
      </c>
      <c r="I1880" s="16" t="s">
        <v>293</v>
      </c>
    </row>
    <row r="1881" spans="2:9" ht="12.75">
      <c r="B1881" s="20" t="s">
        <v>242</v>
      </c>
      <c r="C1881" s="21">
        <f>(4/3)^1.51*E1881</f>
        <v>31.699064215541004</v>
      </c>
      <c r="D1881" s="16">
        <v>31.85</v>
      </c>
      <c r="E1881" s="16">
        <v>20.53</v>
      </c>
      <c r="F1881" s="22">
        <f>-((D1881-C1881)/D1881)</f>
        <v>-0.004738957125871203</v>
      </c>
      <c r="G1881" s="21">
        <f>C1881-D1881</f>
        <v>-0.1509357844589978</v>
      </c>
      <c r="H1881" s="16">
        <v>740</v>
      </c>
      <c r="I1881" s="16" t="s">
        <v>293</v>
      </c>
    </row>
    <row r="1882" spans="2:9" ht="12.75">
      <c r="B1882" s="20" t="s">
        <v>289</v>
      </c>
      <c r="C1882" s="21">
        <f>(4/3)^1.51*E1882</f>
        <v>33.82983424074541</v>
      </c>
      <c r="D1882" s="16">
        <v>34.41</v>
      </c>
      <c r="E1882" s="16">
        <v>21.91</v>
      </c>
      <c r="F1882" s="22">
        <f>-((D1882-C1882)/D1882)</f>
        <v>-0.016860382425300312</v>
      </c>
      <c r="G1882" s="21">
        <f>C1882-D1882</f>
        <v>-0.5801657592545837</v>
      </c>
      <c r="H1882" s="16">
        <v>740</v>
      </c>
      <c r="I1882" s="16" t="s">
        <v>293</v>
      </c>
    </row>
    <row r="1883" spans="2:9" ht="12.75">
      <c r="B1883" s="20" t="s">
        <v>288</v>
      </c>
      <c r="C1883" s="21">
        <f>(4/3)^1.51*E1883</f>
        <v>34.06143967826763</v>
      </c>
      <c r="D1883" s="16">
        <v>34.65</v>
      </c>
      <c r="E1883" s="16">
        <v>22.06</v>
      </c>
      <c r="F1883" s="22">
        <f>-((D1883-C1883)/D1883)</f>
        <v>-0.016985867871063962</v>
      </c>
      <c r="G1883" s="21">
        <f>C1883-D1883</f>
        <v>-0.5885603217323663</v>
      </c>
      <c r="H1883" s="16">
        <v>740</v>
      </c>
      <c r="I1883" s="16" t="s">
        <v>293</v>
      </c>
    </row>
    <row r="1884" spans="2:9" ht="12.75">
      <c r="B1884" s="20" t="s">
        <v>287</v>
      </c>
      <c r="C1884" s="21">
        <f>(4/3)^1.51*E1884</f>
        <v>36.56277840350759</v>
      </c>
      <c r="D1884" s="16">
        <v>37.22</v>
      </c>
      <c r="E1884" s="16">
        <v>23.68</v>
      </c>
      <c r="F1884" s="22">
        <f>-((D1884-C1884)/D1884)</f>
        <v>-0.017657753801515463</v>
      </c>
      <c r="G1884" s="21">
        <f>C1884-D1884</f>
        <v>-0.6572215964924055</v>
      </c>
      <c r="H1884" s="16">
        <v>740</v>
      </c>
      <c r="I1884" s="16" t="s">
        <v>293</v>
      </c>
    </row>
    <row r="1885" spans="2:9" ht="12.75">
      <c r="B1885" s="20" t="s">
        <v>244</v>
      </c>
      <c r="C1885" s="21">
        <f>(4/3)^1.51*E1885</f>
        <v>26.773588577568486</v>
      </c>
      <c r="D1885" s="16">
        <v>27.36</v>
      </c>
      <c r="E1885" s="16">
        <v>17.34</v>
      </c>
      <c r="F1885" s="22">
        <f>-((D1885-C1885)/D1885)</f>
        <v>-0.021433166024543635</v>
      </c>
      <c r="G1885" s="21">
        <f>C1885-D1885</f>
        <v>-0.5864114224315138</v>
      </c>
      <c r="H1885" s="16">
        <v>740</v>
      </c>
      <c r="I1885" s="16" t="s">
        <v>293</v>
      </c>
    </row>
    <row r="1886" spans="2:9" ht="12.75">
      <c r="B1886" s="20" t="s">
        <v>286</v>
      </c>
      <c r="C1886" s="21">
        <f>(4/3)^1.51*E1886</f>
        <v>36.47013622849871</v>
      </c>
      <c r="D1886" s="16">
        <v>37.35</v>
      </c>
      <c r="E1886" s="16">
        <v>23.62</v>
      </c>
      <c r="F1886" s="22">
        <f>-((D1886-C1886)/D1886)</f>
        <v>-0.02355726295853525</v>
      </c>
      <c r="G1886" s="21">
        <f>C1886-D1886</f>
        <v>-0.8798637715012916</v>
      </c>
      <c r="H1886" s="16">
        <v>740</v>
      </c>
      <c r="I1886" s="16" t="s">
        <v>293</v>
      </c>
    </row>
    <row r="1887" spans="2:9" ht="12.75">
      <c r="B1887" s="20" t="s">
        <v>148</v>
      </c>
      <c r="C1887" s="21">
        <f>(4/3)^1.51*E1887</f>
        <v>25.1986716024174</v>
      </c>
      <c r="D1887" s="16">
        <v>26.03</v>
      </c>
      <c r="E1887" s="16">
        <v>16.32</v>
      </c>
      <c r="F1887" s="22">
        <f>-((D1887-C1887)/D1887)</f>
        <v>-0.03193731838580877</v>
      </c>
      <c r="G1887" s="21">
        <f>C1887-D1887</f>
        <v>-0.8313283975826025</v>
      </c>
      <c r="H1887" s="16">
        <v>740</v>
      </c>
      <c r="I1887" s="16" t="s">
        <v>293</v>
      </c>
    </row>
    <row r="1888" spans="2:9" ht="12.75">
      <c r="B1888" s="20"/>
      <c r="C1888" s="21"/>
      <c r="D1888" s="16"/>
      <c r="E1888" s="16" t="s">
        <v>14</v>
      </c>
      <c r="F1888" s="22">
        <f>AVERAGE(F1875:F1887)</f>
        <v>0.0007483629308760776</v>
      </c>
      <c r="G1888" s="21">
        <f>AVERAGE(G1875:G1887)</f>
        <v>-0.005665376805885704</v>
      </c>
      <c r="H1888" s="16"/>
      <c r="I1888" s="16"/>
    </row>
    <row r="1889" spans="2:9" ht="12.75">
      <c r="B1889" s="20"/>
      <c r="C1889" s="21"/>
      <c r="D1889" s="16"/>
      <c r="E1889" s="16"/>
      <c r="F1889" s="22"/>
      <c r="G1889" s="21"/>
      <c r="H1889" s="16"/>
      <c r="I1889" s="16"/>
    </row>
    <row r="1890" spans="1:9" ht="12.75">
      <c r="A1890" s="23" t="s">
        <v>0</v>
      </c>
      <c r="B1890" s="23" t="s">
        <v>1</v>
      </c>
      <c r="C1890" s="18" t="s">
        <v>74</v>
      </c>
      <c r="D1890" s="18" t="s">
        <v>73</v>
      </c>
      <c r="E1890" s="18" t="s">
        <v>3</v>
      </c>
      <c r="F1890" s="18" t="s">
        <v>5</v>
      </c>
      <c r="G1890" s="18" t="s">
        <v>6</v>
      </c>
      <c r="H1890" s="18" t="s">
        <v>7</v>
      </c>
      <c r="I1890" s="18" t="s">
        <v>8</v>
      </c>
    </row>
    <row r="1891" spans="1:9" ht="12.75">
      <c r="A1891" s="23" t="s">
        <v>298</v>
      </c>
      <c r="B1891" s="23" t="s">
        <v>101</v>
      </c>
      <c r="C1891" s="24">
        <f>(4/3)^2*E1891</f>
        <v>31.555555555555554</v>
      </c>
      <c r="D1891" s="18">
        <v>26.44</v>
      </c>
      <c r="E1891" s="18">
        <v>17.75</v>
      </c>
      <c r="F1891" s="25">
        <f>-((D1891-C1891)/D1891)</f>
        <v>0.1934778954446124</v>
      </c>
      <c r="G1891" s="24">
        <f>C1891-D1891</f>
        <v>5.115555555555552</v>
      </c>
      <c r="H1891" s="18">
        <v>740</v>
      </c>
      <c r="I1891" s="18" t="s">
        <v>293</v>
      </c>
    </row>
    <row r="1892" spans="1:9" ht="12.75">
      <c r="A1892" s="5"/>
      <c r="B1892" s="23" t="s">
        <v>299</v>
      </c>
      <c r="C1892" s="24">
        <f>(4/3)^2*E1892</f>
        <v>33.422222222222224</v>
      </c>
      <c r="D1892" s="18">
        <v>28.08</v>
      </c>
      <c r="E1892" s="18">
        <v>18.8</v>
      </c>
      <c r="F1892" s="25">
        <f>-((D1892-C1892)/D1892)</f>
        <v>0.1902500791389682</v>
      </c>
      <c r="G1892" s="24">
        <f>C1892-D1892</f>
        <v>5.342222222222226</v>
      </c>
      <c r="H1892" s="18">
        <v>740</v>
      </c>
      <c r="I1892" s="18" t="s">
        <v>293</v>
      </c>
    </row>
    <row r="1893" spans="1:9" ht="12.75">
      <c r="A1893" s="5"/>
      <c r="B1893" s="23" t="s">
        <v>300</v>
      </c>
      <c r="C1893" s="24">
        <f>(4/3)^2*E1893</f>
        <v>45.12</v>
      </c>
      <c r="D1893" s="18">
        <v>38.04</v>
      </c>
      <c r="E1893" s="18">
        <v>25.38</v>
      </c>
      <c r="F1893" s="25">
        <f>-((D1893-C1893)/D1893)</f>
        <v>0.18611987381703465</v>
      </c>
      <c r="G1893" s="24">
        <f>C1893-D1893</f>
        <v>7.079999999999998</v>
      </c>
      <c r="H1893" s="18">
        <v>740</v>
      </c>
      <c r="I1893" s="18" t="s">
        <v>293</v>
      </c>
    </row>
    <row r="1894" spans="1:9" ht="12.75">
      <c r="A1894" s="5"/>
      <c r="B1894" s="23" t="s">
        <v>301</v>
      </c>
      <c r="C1894" s="24">
        <f>(4/3)^2*E1894</f>
        <v>33.08444444444444</v>
      </c>
      <c r="D1894" s="18">
        <v>28.02</v>
      </c>
      <c r="E1894" s="18">
        <v>18.61</v>
      </c>
      <c r="F1894" s="25">
        <f>-((D1894-C1894)/D1894)</f>
        <v>0.18074391307796017</v>
      </c>
      <c r="G1894" s="24">
        <f>C1894-D1894</f>
        <v>5.064444444444444</v>
      </c>
      <c r="H1894" s="18">
        <v>740</v>
      </c>
      <c r="I1894" s="18" t="s">
        <v>293</v>
      </c>
    </row>
    <row r="1895" spans="1:9" ht="12.75">
      <c r="A1895" s="5"/>
      <c r="B1895" s="23" t="s">
        <v>91</v>
      </c>
      <c r="C1895" s="24">
        <f>(4/3)^2*E1895</f>
        <v>29.90222222222222</v>
      </c>
      <c r="D1895" s="18">
        <v>25.51</v>
      </c>
      <c r="E1895" s="18">
        <v>16.82</v>
      </c>
      <c r="F1895" s="25">
        <f>-((D1895-C1895)/D1895)</f>
        <v>0.17217648852301917</v>
      </c>
      <c r="G1895" s="24">
        <f>C1895-D1895</f>
        <v>4.39222222222222</v>
      </c>
      <c r="H1895" s="18">
        <v>740</v>
      </c>
      <c r="I1895" s="18" t="s">
        <v>293</v>
      </c>
    </row>
    <row r="1896" spans="1:9" ht="12.75">
      <c r="A1896" s="5"/>
      <c r="B1896" s="23" t="s">
        <v>243</v>
      </c>
      <c r="C1896" s="24">
        <f>(4/3)^2*E1896</f>
        <v>36.675555555555555</v>
      </c>
      <c r="D1896" s="18">
        <v>31.89</v>
      </c>
      <c r="E1896" s="18">
        <v>20.63</v>
      </c>
      <c r="F1896" s="25">
        <f>-((D1896-C1896)/D1896)</f>
        <v>0.1500644576844012</v>
      </c>
      <c r="G1896" s="24">
        <f>C1896-D1896</f>
        <v>4.785555555555554</v>
      </c>
      <c r="H1896" s="18">
        <v>740</v>
      </c>
      <c r="I1896" s="18" t="s">
        <v>293</v>
      </c>
    </row>
    <row r="1897" spans="1:9" ht="12.75">
      <c r="A1897" s="5"/>
      <c r="B1897" s="23" t="s">
        <v>242</v>
      </c>
      <c r="C1897" s="24">
        <f>(4/3)^2*E1897</f>
        <v>36.49777777777778</v>
      </c>
      <c r="D1897" s="18">
        <v>31.85</v>
      </c>
      <c r="E1897" s="18">
        <v>20.53</v>
      </c>
      <c r="F1897" s="25">
        <f>-((D1897-C1897)/D1897)</f>
        <v>0.14592708878423158</v>
      </c>
      <c r="G1897" s="24">
        <f>C1897-D1897</f>
        <v>4.647777777777776</v>
      </c>
      <c r="H1897" s="18">
        <v>740</v>
      </c>
      <c r="I1897" s="18" t="s">
        <v>293</v>
      </c>
    </row>
    <row r="1898" spans="1:9" ht="12.75">
      <c r="A1898" s="5"/>
      <c r="B1898" s="23" t="s">
        <v>289</v>
      </c>
      <c r="C1898" s="24">
        <f>(4/3)^2*E1898</f>
        <v>38.95111111111111</v>
      </c>
      <c r="D1898" s="18">
        <v>34.41</v>
      </c>
      <c r="E1898" s="18">
        <v>21.91</v>
      </c>
      <c r="F1898" s="25">
        <f>-((D1898-C1898)/D1898)</f>
        <v>0.13197068035777723</v>
      </c>
      <c r="G1898" s="24">
        <f>C1898-D1898</f>
        <v>4.541111111111114</v>
      </c>
      <c r="H1898" s="18">
        <v>740</v>
      </c>
      <c r="I1898" s="18" t="s">
        <v>293</v>
      </c>
    </row>
    <row r="1899" spans="1:9" ht="12.75">
      <c r="A1899" s="5"/>
      <c r="B1899" s="23" t="s">
        <v>288</v>
      </c>
      <c r="C1899" s="24">
        <f>(4/3)^2*E1899</f>
        <v>39.217777777777776</v>
      </c>
      <c r="D1899" s="18">
        <v>34.65</v>
      </c>
      <c r="E1899" s="18">
        <v>22.06</v>
      </c>
      <c r="F1899" s="25">
        <f>-((D1899-C1899)/D1899)</f>
        <v>0.13182619849286517</v>
      </c>
      <c r="G1899" s="24">
        <f>C1899-D1899</f>
        <v>4.567777777777778</v>
      </c>
      <c r="H1899" s="18">
        <v>740</v>
      </c>
      <c r="I1899" s="18" t="s">
        <v>293</v>
      </c>
    </row>
    <row r="1900" spans="1:9" ht="12.75">
      <c r="A1900" s="5"/>
      <c r="B1900" s="23" t="s">
        <v>287</v>
      </c>
      <c r="C1900" s="24">
        <f>(4/3)^2*E1900</f>
        <v>42.09777777777777</v>
      </c>
      <c r="D1900" s="18">
        <v>37.22</v>
      </c>
      <c r="E1900" s="18">
        <v>23.68</v>
      </c>
      <c r="F1900" s="25">
        <f>-((D1900-C1900)/D1900)</f>
        <v>0.131052600155233</v>
      </c>
      <c r="G1900" s="24">
        <f>C1900-D1900</f>
        <v>4.877777777777773</v>
      </c>
      <c r="H1900" s="18">
        <v>740</v>
      </c>
      <c r="I1900" s="18" t="s">
        <v>293</v>
      </c>
    </row>
    <row r="1901" spans="1:9" ht="12.75">
      <c r="A1901" s="5"/>
      <c r="B1901" s="23" t="s">
        <v>244</v>
      </c>
      <c r="C1901" s="24">
        <f>(4/3)^2*E1901</f>
        <v>30.826666666666664</v>
      </c>
      <c r="D1901" s="18">
        <v>27.36</v>
      </c>
      <c r="E1901" s="18">
        <v>17.34</v>
      </c>
      <c r="F1901" s="25">
        <f>-((D1901-C1901)/D1901)</f>
        <v>0.12670565302144243</v>
      </c>
      <c r="G1901" s="24">
        <f>C1901-D1901</f>
        <v>3.466666666666665</v>
      </c>
      <c r="H1901" s="18">
        <v>740</v>
      </c>
      <c r="I1901" s="18" t="s">
        <v>293</v>
      </c>
    </row>
    <row r="1902" spans="1:9" ht="12.75">
      <c r="A1902" s="5"/>
      <c r="B1902" s="23" t="s">
        <v>286</v>
      </c>
      <c r="C1902" s="24">
        <f>(4/3)^2*E1902</f>
        <v>41.99111111111111</v>
      </c>
      <c r="D1902" s="18">
        <v>37.35</v>
      </c>
      <c r="E1902" s="18">
        <v>23.62</v>
      </c>
      <c r="F1902" s="25">
        <f>-((D1902-C1902)/D1902)</f>
        <v>0.12426000297486234</v>
      </c>
      <c r="G1902" s="24">
        <f>C1902-D1902</f>
        <v>4.641111111111108</v>
      </c>
      <c r="H1902" s="18">
        <v>740</v>
      </c>
      <c r="I1902" s="18" t="s">
        <v>293</v>
      </c>
    </row>
    <row r="1903" spans="1:9" ht="12.75">
      <c r="A1903" s="5"/>
      <c r="B1903" s="23" t="s">
        <v>148</v>
      </c>
      <c r="C1903" s="24">
        <f>(4/3)^2*E1903</f>
        <v>29.013333333333332</v>
      </c>
      <c r="D1903" s="18">
        <v>26.03</v>
      </c>
      <c r="E1903" s="18">
        <v>16.32</v>
      </c>
      <c r="F1903" s="25">
        <f>-((D1903-C1903)/D1903)</f>
        <v>0.11461134588295546</v>
      </c>
      <c r="G1903" s="24">
        <f>C1903-D1903</f>
        <v>2.9833333333333307</v>
      </c>
      <c r="H1903" s="18">
        <v>740</v>
      </c>
      <c r="I1903" s="18" t="s">
        <v>293</v>
      </c>
    </row>
    <row r="1904" spans="1:9" ht="12.75">
      <c r="A1904" s="5"/>
      <c r="B1904" s="23"/>
      <c r="C1904" s="24"/>
      <c r="D1904" s="18"/>
      <c r="E1904" s="18" t="s">
        <v>14</v>
      </c>
      <c r="F1904" s="25">
        <f>AVERAGE(F1891:F1903)</f>
        <v>0.15224509825810484</v>
      </c>
      <c r="G1904" s="24">
        <f>AVERAGE(G1891:G1903)</f>
        <v>4.7311965811965795</v>
      </c>
      <c r="H1904" s="18"/>
      <c r="I1904" s="18"/>
    </row>
    <row r="1905" ht="12.75">
      <c r="I1905" s="70"/>
    </row>
    <row r="1906" spans="1:9" ht="12.75">
      <c r="A1906" s="69" t="s">
        <v>0</v>
      </c>
      <c r="B1906" s="69" t="s">
        <v>1</v>
      </c>
      <c r="C1906" s="70" t="s">
        <v>302</v>
      </c>
      <c r="D1906" s="70" t="s">
        <v>218</v>
      </c>
      <c r="E1906" s="70" t="s">
        <v>73</v>
      </c>
      <c r="F1906" s="70" t="s">
        <v>5</v>
      </c>
      <c r="G1906" s="70" t="s">
        <v>6</v>
      </c>
      <c r="H1906" s="70" t="s">
        <v>7</v>
      </c>
      <c r="I1906" s="70" t="s">
        <v>8</v>
      </c>
    </row>
    <row r="1907" spans="1:9" ht="12.75">
      <c r="A1907" s="69" t="s">
        <v>298</v>
      </c>
      <c r="B1907" s="69" t="s">
        <v>92</v>
      </c>
      <c r="C1907" s="71">
        <f>(5/4)^1.55*E1907</f>
        <v>30.356017686504256</v>
      </c>
      <c r="D1907" s="70">
        <v>29.63</v>
      </c>
      <c r="E1907" s="70">
        <v>21.48</v>
      </c>
      <c r="F1907" s="72">
        <f>-((D1907-C1907)/D1907)</f>
        <v>0.02450279063463573</v>
      </c>
      <c r="G1907" s="71">
        <f>C1907-D1907</f>
        <v>0.7260176865042567</v>
      </c>
      <c r="H1907" s="70">
        <v>740</v>
      </c>
      <c r="I1907" s="70" t="s">
        <v>293</v>
      </c>
    </row>
    <row r="1908" spans="2:9" ht="12.75">
      <c r="B1908" s="69" t="s">
        <v>96</v>
      </c>
      <c r="C1908" s="71">
        <f>(5/4)^1.55*E1908</f>
        <v>29.21130752234837</v>
      </c>
      <c r="D1908" s="70">
        <v>28.67</v>
      </c>
      <c r="E1908" s="70">
        <v>20.67</v>
      </c>
      <c r="F1908" s="72">
        <f>-((D1908-C1908)/D1908)</f>
        <v>0.018880625125509896</v>
      </c>
      <c r="G1908" s="71">
        <f>C1908-D1908</f>
        <v>0.5413075223483688</v>
      </c>
      <c r="H1908" s="70">
        <v>740</v>
      </c>
      <c r="I1908" s="70" t="s">
        <v>293</v>
      </c>
    </row>
    <row r="1909" spans="2:9" ht="12.75">
      <c r="B1909" s="69" t="s">
        <v>301</v>
      </c>
      <c r="C1909" s="71">
        <f>(5/4)^1.55*E1909</f>
        <v>39.59849234524438</v>
      </c>
      <c r="D1909" s="70">
        <v>38.87</v>
      </c>
      <c r="E1909" s="70">
        <v>28.02</v>
      </c>
      <c r="F1909" s="72">
        <f>-((D1909-C1909)/D1909)</f>
        <v>0.018741763448530575</v>
      </c>
      <c r="G1909" s="71">
        <f>C1909-D1909</f>
        <v>0.7284923452443834</v>
      </c>
      <c r="H1909" s="70">
        <v>740</v>
      </c>
      <c r="I1909" s="70" t="s">
        <v>293</v>
      </c>
    </row>
    <row r="1910" spans="2:9" ht="12.75">
      <c r="B1910" s="69" t="s">
        <v>91</v>
      </c>
      <c r="C1910" s="71">
        <f>(5/4)^1.55*E1910</f>
        <v>36.051304058786016</v>
      </c>
      <c r="D1910" s="70">
        <v>35.49</v>
      </c>
      <c r="E1910" s="70">
        <v>25.51</v>
      </c>
      <c r="F1910" s="72">
        <f>-((D1910-C1910)/D1910)</f>
        <v>0.015815837103015328</v>
      </c>
      <c r="G1910" s="71">
        <f>C1910-D1910</f>
        <v>0.5613040587860141</v>
      </c>
      <c r="H1910" s="70">
        <v>740</v>
      </c>
      <c r="I1910" s="70" t="s">
        <v>293</v>
      </c>
    </row>
    <row r="1911" spans="2:9" ht="12.75">
      <c r="B1911" s="69" t="s">
        <v>299</v>
      </c>
      <c r="C1911" s="71">
        <f>(5/4)^1.55*E1911</f>
        <v>39.68328569073741</v>
      </c>
      <c r="D1911" s="70">
        <v>39.12</v>
      </c>
      <c r="E1911" s="70">
        <v>28.08</v>
      </c>
      <c r="F1911" s="72">
        <f>-((D1911-C1911)/D1911)</f>
        <v>0.014398918474882645</v>
      </c>
      <c r="G1911" s="71">
        <f>C1911-D1911</f>
        <v>0.5632856907374091</v>
      </c>
      <c r="H1911" s="70">
        <v>740</v>
      </c>
      <c r="I1911" s="70" t="s">
        <v>293</v>
      </c>
    </row>
    <row r="1912" spans="2:9" ht="12.75">
      <c r="B1912" s="69" t="s">
        <v>101</v>
      </c>
      <c r="C1912" s="71">
        <f>(5/4)^1.55*E1912</f>
        <v>37.365600913927956</v>
      </c>
      <c r="D1912" s="70">
        <v>36.86</v>
      </c>
      <c r="E1912" s="70">
        <v>26.44</v>
      </c>
      <c r="F1912" s="72">
        <f>-((D1912-C1912)/D1912)</f>
        <v>0.013716790936732412</v>
      </c>
      <c r="G1912" s="71">
        <f>C1912-D1912</f>
        <v>0.5056009139279567</v>
      </c>
      <c r="H1912" s="70">
        <v>740</v>
      </c>
      <c r="I1912" s="70" t="s">
        <v>293</v>
      </c>
    </row>
    <row r="1913" spans="2:9" ht="12.75">
      <c r="B1913" s="69" t="s">
        <v>107</v>
      </c>
      <c r="C1913" s="71">
        <f>(5/4)^1.55*E1913</f>
        <v>29.87552206204376</v>
      </c>
      <c r="D1913" s="70">
        <v>29.52</v>
      </c>
      <c r="E1913" s="70">
        <v>21.14</v>
      </c>
      <c r="F1913" s="72">
        <f>-((D1913-C1913)/D1913)</f>
        <v>0.012043430286035262</v>
      </c>
      <c r="G1913" s="71">
        <f>C1913-D1913</f>
        <v>0.3555220620437609</v>
      </c>
      <c r="H1913" s="70">
        <v>740</v>
      </c>
      <c r="I1913" s="70" t="s">
        <v>293</v>
      </c>
    </row>
    <row r="1914" spans="2:9" ht="12.75">
      <c r="B1914" s="69" t="s">
        <v>93</v>
      </c>
      <c r="C1914" s="71">
        <f>(5/4)^1.55*E1914</f>
        <v>21.240733046003676</v>
      </c>
      <c r="D1914" s="70">
        <v>21.01</v>
      </c>
      <c r="E1914" s="70">
        <v>15.03</v>
      </c>
      <c r="F1914" s="72">
        <f>-((D1914-C1914)/D1914)</f>
        <v>0.010982058353340051</v>
      </c>
      <c r="G1914" s="71">
        <f>C1914-D1914</f>
        <v>0.2307330460036745</v>
      </c>
      <c r="H1914" s="70">
        <v>740</v>
      </c>
      <c r="I1914" s="70" t="s">
        <v>293</v>
      </c>
    </row>
    <row r="1915" spans="2:9" ht="12.75">
      <c r="B1915" s="69" t="s">
        <v>44</v>
      </c>
      <c r="C1915" s="71">
        <f>(5/4)^1.55*E1915</f>
        <v>23.685607841052672</v>
      </c>
      <c r="D1915" s="70">
        <v>23.49</v>
      </c>
      <c r="E1915" s="70">
        <v>16.76</v>
      </c>
      <c r="F1915" s="72">
        <f>-((D1915-C1915)/D1915)</f>
        <v>0.00832728144115256</v>
      </c>
      <c r="G1915" s="71">
        <f>C1915-D1915</f>
        <v>0.1956078410526736</v>
      </c>
      <c r="H1915" s="70">
        <v>740</v>
      </c>
      <c r="I1915" s="70" t="s">
        <v>293</v>
      </c>
    </row>
    <row r="1916" spans="2:9" ht="12.75">
      <c r="B1916" s="69" t="s">
        <v>104</v>
      </c>
      <c r="C1916" s="71">
        <f>(5/4)^1.55*E1916</f>
        <v>22.668087695136325</v>
      </c>
      <c r="D1916" s="70">
        <v>22.64</v>
      </c>
      <c r="E1916" s="70">
        <v>16.04</v>
      </c>
      <c r="F1916" s="72">
        <f>-((D1916-C1916)/D1916)</f>
        <v>0.0012406225766927869</v>
      </c>
      <c r="G1916" s="71">
        <f>C1916-D1916</f>
        <v>0.028087695136324697</v>
      </c>
      <c r="H1916" s="70">
        <v>740</v>
      </c>
      <c r="I1916" s="70" t="s">
        <v>293</v>
      </c>
    </row>
    <row r="1917" spans="2:9" ht="12.75">
      <c r="B1917" s="69" t="s">
        <v>97</v>
      </c>
      <c r="C1917" s="71">
        <f>(5/4)^1.55*E1917</f>
        <v>33.691222609230046</v>
      </c>
      <c r="D1917" s="70">
        <v>34.13</v>
      </c>
      <c r="E1917" s="70">
        <v>23.84</v>
      </c>
      <c r="F1917" s="72">
        <f>-((D1917-C1917)/D1917)</f>
        <v>-0.012856061845003128</v>
      </c>
      <c r="G1917" s="71">
        <f>C1917-D1917</f>
        <v>-0.4387773907699568</v>
      </c>
      <c r="H1917" s="70">
        <v>740</v>
      </c>
      <c r="I1917" s="70" t="s">
        <v>293</v>
      </c>
    </row>
    <row r="1918" spans="2:9" ht="12.75">
      <c r="B1918" s="69" t="s">
        <v>98</v>
      </c>
      <c r="C1918" s="71">
        <f>(5/4)^1.55*E1918</f>
        <v>28.46229963715995</v>
      </c>
      <c r="D1918" s="70">
        <v>29</v>
      </c>
      <c r="E1918" s="70">
        <v>20.14</v>
      </c>
      <c r="F1918" s="72">
        <f>-((D1918-C1918)/D1918)</f>
        <v>-0.018541391822070645</v>
      </c>
      <c r="G1918" s="71">
        <f>C1918-D1918</f>
        <v>-0.5377003628400487</v>
      </c>
      <c r="H1918" s="70">
        <v>740</v>
      </c>
      <c r="I1918" s="70" t="s">
        <v>293</v>
      </c>
    </row>
    <row r="1919" spans="2:9" ht="12.75">
      <c r="B1919" s="69" t="s">
        <v>122</v>
      </c>
      <c r="C1919" s="71">
        <f>(5/4)^1.55*E1919</f>
        <v>36.023039610288336</v>
      </c>
      <c r="D1919" s="70">
        <v>36.83</v>
      </c>
      <c r="E1919" s="70">
        <v>25.49</v>
      </c>
      <c r="F1919" s="72">
        <f>-((D1919-C1919)/D1919)</f>
        <v>-0.021910409712507798</v>
      </c>
      <c r="G1919" s="71">
        <f>C1919-D1919</f>
        <v>-0.8069603897116622</v>
      </c>
      <c r="H1919" s="70">
        <v>740</v>
      </c>
      <c r="I1919" s="70" t="s">
        <v>293</v>
      </c>
    </row>
    <row r="1920" spans="2:9" ht="12.75">
      <c r="B1920" s="69" t="s">
        <v>148</v>
      </c>
      <c r="C1920" s="71">
        <f>(5/4)^1.55*E1920</f>
        <v>36.786179719725595</v>
      </c>
      <c r="D1920" s="70">
        <v>37.65</v>
      </c>
      <c r="E1920" s="70">
        <v>26.03</v>
      </c>
      <c r="F1920" s="72">
        <f>-((D1920-C1920)/D1920)</f>
        <v>-0.022943433739027977</v>
      </c>
      <c r="G1920" s="71">
        <f>C1920-D1920</f>
        <v>-0.8638202802744033</v>
      </c>
      <c r="H1920" s="70">
        <v>740</v>
      </c>
      <c r="I1920" s="70" t="s">
        <v>293</v>
      </c>
    </row>
    <row r="1921" spans="2:9" ht="12.75">
      <c r="B1921" s="69" t="s">
        <v>83</v>
      </c>
      <c r="C1921" s="71">
        <f>(5/4)^1.55*E1921</f>
        <v>25.607590338894653</v>
      </c>
      <c r="D1921" s="70">
        <v>26.48</v>
      </c>
      <c r="E1921" s="70">
        <v>18.12</v>
      </c>
      <c r="F1921" s="72">
        <f>-((D1921-C1921)/D1921)</f>
        <v>-0.032945984180715544</v>
      </c>
      <c r="G1921" s="71">
        <f>C1921-D1921</f>
        <v>-0.8724096611053476</v>
      </c>
      <c r="H1921" s="70">
        <v>740</v>
      </c>
      <c r="I1921" s="70" t="s">
        <v>293</v>
      </c>
    </row>
    <row r="1922" spans="2:9" ht="12.75">
      <c r="B1922" s="69"/>
      <c r="C1922" s="71"/>
      <c r="D1922" s="70"/>
      <c r="E1922" s="70" t="s">
        <v>14</v>
      </c>
      <c r="F1922" s="72">
        <f>AVERAGE(F1907:F1921)</f>
        <v>0.001963522472080145</v>
      </c>
      <c r="G1922" s="71">
        <f>AVERAGE(G1907:G1921)</f>
        <v>0.06108605180556026</v>
      </c>
      <c r="H1922" s="70"/>
      <c r="I1922" s="70"/>
    </row>
    <row r="1923" spans="2:9" ht="12.75">
      <c r="B1923" s="69"/>
      <c r="C1923" s="71"/>
      <c r="D1923" s="70"/>
      <c r="E1923" s="70"/>
      <c r="F1923" s="72"/>
      <c r="G1923" s="71"/>
      <c r="H1923" s="70"/>
      <c r="I1923" s="70"/>
    </row>
    <row r="1924" spans="1:9" ht="12.75">
      <c r="A1924" s="73" t="s">
        <v>0</v>
      </c>
      <c r="B1924" s="73" t="s">
        <v>1</v>
      </c>
      <c r="C1924" s="74" t="s">
        <v>219</v>
      </c>
      <c r="D1924" s="74" t="s">
        <v>218</v>
      </c>
      <c r="E1924" s="74" t="s">
        <v>73</v>
      </c>
      <c r="F1924" s="74" t="s">
        <v>5</v>
      </c>
      <c r="G1924" s="74" t="s">
        <v>6</v>
      </c>
      <c r="H1924" s="74" t="s">
        <v>7</v>
      </c>
      <c r="I1924" s="74" t="s">
        <v>8</v>
      </c>
    </row>
    <row r="1925" spans="1:9" ht="12.75">
      <c r="A1925" s="73" t="s">
        <v>298</v>
      </c>
      <c r="B1925" s="73" t="s">
        <v>92</v>
      </c>
      <c r="C1925" s="75">
        <f>(5/4)^2*E1925</f>
        <v>33.5625</v>
      </c>
      <c r="D1925" s="74">
        <v>29.63</v>
      </c>
      <c r="E1925" s="74">
        <v>21.48</v>
      </c>
      <c r="F1925" s="76">
        <f>-((D1925-C1925)/D1925)</f>
        <v>0.13272021599730008</v>
      </c>
      <c r="G1925" s="75">
        <f>C1925-D1925</f>
        <v>3.932500000000001</v>
      </c>
      <c r="H1925" s="74">
        <v>740</v>
      </c>
      <c r="I1925" s="74" t="s">
        <v>293</v>
      </c>
    </row>
    <row r="1926" spans="1:9" ht="12.75">
      <c r="A1926" s="5"/>
      <c r="B1926" s="73" t="s">
        <v>96</v>
      </c>
      <c r="C1926" s="75">
        <f>(5/4)^2*E1926</f>
        <v>32.296875</v>
      </c>
      <c r="D1926" s="74">
        <v>28.67</v>
      </c>
      <c r="E1926" s="74">
        <v>20.67</v>
      </c>
      <c r="F1926" s="76">
        <f>-((D1926-C1926)/D1926)</f>
        <v>0.12650418555981857</v>
      </c>
      <c r="G1926" s="75">
        <f>C1926-D1926</f>
        <v>3.6268749999999983</v>
      </c>
      <c r="H1926" s="74">
        <v>740</v>
      </c>
      <c r="I1926" s="74" t="s">
        <v>293</v>
      </c>
    </row>
    <row r="1927" spans="1:9" ht="12.75">
      <c r="A1927" s="5"/>
      <c r="B1927" s="73" t="s">
        <v>301</v>
      </c>
      <c r="C1927" s="75">
        <f>(5/4)^2*E1927</f>
        <v>43.78125</v>
      </c>
      <c r="D1927" s="74">
        <v>38.87</v>
      </c>
      <c r="E1927" s="74">
        <v>28.02</v>
      </c>
      <c r="F1927" s="76">
        <f>-((D1927-C1927)/D1927)</f>
        <v>0.12635065603293036</v>
      </c>
      <c r="G1927" s="75">
        <f>C1927-D1927</f>
        <v>4.911250000000003</v>
      </c>
      <c r="H1927" s="74">
        <v>740</v>
      </c>
      <c r="I1927" s="74" t="s">
        <v>293</v>
      </c>
    </row>
    <row r="1928" spans="1:9" ht="12.75">
      <c r="A1928" s="5"/>
      <c r="B1928" s="73" t="s">
        <v>91</v>
      </c>
      <c r="C1928" s="75">
        <f>(5/4)^2*E1928</f>
        <v>39.859375</v>
      </c>
      <c r="D1928" s="74">
        <v>35.49</v>
      </c>
      <c r="E1928" s="74">
        <v>25.51</v>
      </c>
      <c r="F1928" s="76">
        <f>-((D1928-C1928)/D1928)</f>
        <v>0.12311566638489709</v>
      </c>
      <c r="G1928" s="75">
        <f>C1928-D1928</f>
        <v>4.369374999999998</v>
      </c>
      <c r="H1928" s="74">
        <v>740</v>
      </c>
      <c r="I1928" s="74" t="s">
        <v>293</v>
      </c>
    </row>
    <row r="1929" spans="1:9" ht="12.75">
      <c r="A1929" s="5"/>
      <c r="B1929" s="73" t="s">
        <v>299</v>
      </c>
      <c r="C1929" s="75">
        <f>(5/4)^2*E1929</f>
        <v>43.875</v>
      </c>
      <c r="D1929" s="74">
        <v>39.12</v>
      </c>
      <c r="E1929" s="74">
        <v>28.08</v>
      </c>
      <c r="F1929" s="76">
        <f>-((D1929-C1929)/D1929)</f>
        <v>0.1215490797546013</v>
      </c>
      <c r="G1929" s="75">
        <f>C1929-D1929</f>
        <v>4.755000000000003</v>
      </c>
      <c r="H1929" s="74">
        <v>740</v>
      </c>
      <c r="I1929" s="74" t="s">
        <v>293</v>
      </c>
    </row>
    <row r="1930" spans="1:9" ht="12.75">
      <c r="A1930" s="5"/>
      <c r="B1930" s="73" t="s">
        <v>101</v>
      </c>
      <c r="C1930" s="75">
        <f>(5/4)^2*E1930</f>
        <v>41.3125</v>
      </c>
      <c r="D1930" s="74">
        <v>36.86</v>
      </c>
      <c r="E1930" s="74">
        <v>26.44</v>
      </c>
      <c r="F1930" s="76">
        <f>-((D1930-C1930)/D1930)</f>
        <v>0.1207948996201845</v>
      </c>
      <c r="G1930" s="75">
        <f>C1930-D1930</f>
        <v>4.452500000000001</v>
      </c>
      <c r="H1930" s="74">
        <v>740</v>
      </c>
      <c r="I1930" s="74" t="s">
        <v>293</v>
      </c>
    </row>
    <row r="1931" spans="1:9" ht="12.75">
      <c r="A1931" s="5"/>
      <c r="B1931" s="73" t="s">
        <v>107</v>
      </c>
      <c r="C1931" s="75">
        <f>(5/4)^2*E1931</f>
        <v>33.03125</v>
      </c>
      <c r="D1931" s="74">
        <v>29.52</v>
      </c>
      <c r="E1931" s="74">
        <v>21.14</v>
      </c>
      <c r="F1931" s="76">
        <f>-((D1931-C1931)/D1931)</f>
        <v>0.118944783197832</v>
      </c>
      <c r="G1931" s="75">
        <f>C1931-D1931</f>
        <v>3.5112500000000004</v>
      </c>
      <c r="H1931" s="74">
        <v>740</v>
      </c>
      <c r="I1931" s="74" t="s">
        <v>293</v>
      </c>
    </row>
    <row r="1932" spans="1:9" ht="12.75">
      <c r="A1932" s="5"/>
      <c r="B1932" s="73" t="s">
        <v>93</v>
      </c>
      <c r="C1932" s="75">
        <f>(5/4)^2*E1932</f>
        <v>23.484375</v>
      </c>
      <c r="D1932" s="74">
        <v>21.01</v>
      </c>
      <c r="E1932" s="74">
        <v>15.03</v>
      </c>
      <c r="F1932" s="76">
        <f>-((D1932-C1932)/D1932)</f>
        <v>0.11777129938124695</v>
      </c>
      <c r="G1932" s="75">
        <f>C1932-D1932</f>
        <v>2.4743749999999984</v>
      </c>
      <c r="H1932" s="74">
        <v>740</v>
      </c>
      <c r="I1932" s="74" t="s">
        <v>293</v>
      </c>
    </row>
    <row r="1933" spans="1:9" ht="12.75">
      <c r="A1933" s="5"/>
      <c r="B1933" s="73" t="s">
        <v>44</v>
      </c>
      <c r="C1933" s="75">
        <f>(5/4)^2*E1933</f>
        <v>26.187500000000004</v>
      </c>
      <c r="D1933" s="74">
        <v>23.49</v>
      </c>
      <c r="E1933" s="74">
        <v>16.76</v>
      </c>
      <c r="F1933" s="76">
        <f>-((D1933-C1933)/D1933)</f>
        <v>0.1148361004682846</v>
      </c>
      <c r="G1933" s="75">
        <f>C1933-D1933</f>
        <v>2.697500000000005</v>
      </c>
      <c r="H1933" s="74">
        <v>740</v>
      </c>
      <c r="I1933" s="74" t="s">
        <v>293</v>
      </c>
    </row>
    <row r="1934" spans="1:9" ht="12.75">
      <c r="A1934" s="5"/>
      <c r="B1934" s="73" t="s">
        <v>104</v>
      </c>
      <c r="C1934" s="75">
        <f>(5/4)^2*E1934</f>
        <v>25.0625</v>
      </c>
      <c r="D1934" s="74">
        <v>22.64</v>
      </c>
      <c r="E1934" s="74">
        <v>16.04</v>
      </c>
      <c r="F1934" s="76">
        <f>-((D1934-C1934)/D1934)</f>
        <v>0.10700088339222612</v>
      </c>
      <c r="G1934" s="75">
        <f>C1934-D1934</f>
        <v>2.4224999999999994</v>
      </c>
      <c r="H1934" s="74">
        <v>740</v>
      </c>
      <c r="I1934" s="74" t="s">
        <v>293</v>
      </c>
    </row>
    <row r="1935" spans="1:9" ht="12.75">
      <c r="A1935" s="5"/>
      <c r="B1935" s="73" t="s">
        <v>97</v>
      </c>
      <c r="C1935" s="75">
        <f>(5/4)^2*E1935</f>
        <v>37.25</v>
      </c>
      <c r="D1935" s="74">
        <v>34.13</v>
      </c>
      <c r="E1935" s="74">
        <v>23.84</v>
      </c>
      <c r="F1935" s="76">
        <f>-((D1935-C1935)/D1935)</f>
        <v>0.09141517726340455</v>
      </c>
      <c r="G1935" s="75">
        <f>C1935-D1935</f>
        <v>3.1199999999999974</v>
      </c>
      <c r="H1935" s="74">
        <v>740</v>
      </c>
      <c r="I1935" s="74" t="s">
        <v>293</v>
      </c>
    </row>
    <row r="1936" spans="1:9" ht="12.75">
      <c r="A1936" s="5"/>
      <c r="B1936" s="73" t="s">
        <v>98</v>
      </c>
      <c r="C1936" s="75">
        <f>(5/4)^2*E1936</f>
        <v>31.46875</v>
      </c>
      <c r="D1936" s="74">
        <v>29</v>
      </c>
      <c r="E1936" s="74">
        <v>20.14</v>
      </c>
      <c r="F1936" s="76">
        <f>-((D1936-C1936)/D1936)</f>
        <v>0.08512931034482758</v>
      </c>
      <c r="G1936" s="75">
        <f>C1936-D1936</f>
        <v>2.46875</v>
      </c>
      <c r="H1936" s="74">
        <v>740</v>
      </c>
      <c r="I1936" s="74" t="s">
        <v>293</v>
      </c>
    </row>
    <row r="1937" spans="1:9" ht="12.75">
      <c r="A1937" s="5"/>
      <c r="B1937" s="73" t="s">
        <v>122</v>
      </c>
      <c r="C1937" s="75">
        <f>(5/4)^2*E1937</f>
        <v>39.828125</v>
      </c>
      <c r="D1937" s="74">
        <v>36.83</v>
      </c>
      <c r="E1937" s="74">
        <v>25.49</v>
      </c>
      <c r="F1937" s="76">
        <f>-((D1937-C1937)/D1937)</f>
        <v>0.08140442573988602</v>
      </c>
      <c r="G1937" s="75">
        <f>C1937-D1937</f>
        <v>2.9981250000000017</v>
      </c>
      <c r="H1937" s="74">
        <v>740</v>
      </c>
      <c r="I1937" s="74" t="s">
        <v>293</v>
      </c>
    </row>
    <row r="1938" spans="1:9" ht="12.75">
      <c r="A1938" s="5"/>
      <c r="B1938" s="73" t="s">
        <v>148</v>
      </c>
      <c r="C1938" s="75">
        <f>(5/4)^2*E1938</f>
        <v>40.671875</v>
      </c>
      <c r="D1938" s="74">
        <v>37.65</v>
      </c>
      <c r="E1938" s="74">
        <v>26.03</v>
      </c>
      <c r="F1938" s="76">
        <f>-((D1938-C1938)/D1938)</f>
        <v>0.08026228419654718</v>
      </c>
      <c r="G1938" s="75">
        <f>C1938-D1938</f>
        <v>3.0218750000000014</v>
      </c>
      <c r="H1938" s="74">
        <v>740</v>
      </c>
      <c r="I1938" s="74" t="s">
        <v>293</v>
      </c>
    </row>
    <row r="1939" spans="1:9" ht="12.75">
      <c r="A1939" s="5"/>
      <c r="B1939" s="73" t="s">
        <v>83</v>
      </c>
      <c r="C1939" s="75">
        <f>(5/4)^2*E1939</f>
        <v>28.3125</v>
      </c>
      <c r="D1939" s="74">
        <v>26.48</v>
      </c>
      <c r="E1939" s="74">
        <v>18.12</v>
      </c>
      <c r="F1939" s="76">
        <f>-((D1939-C1939)/D1939)</f>
        <v>0.06920317220543805</v>
      </c>
      <c r="G1939" s="75">
        <f>C1939-D1939</f>
        <v>1.8324999999999996</v>
      </c>
      <c r="H1939" s="74">
        <v>740</v>
      </c>
      <c r="I1939" s="74" t="s">
        <v>293</v>
      </c>
    </row>
    <row r="1940" spans="1:9" ht="12.75">
      <c r="A1940" s="5"/>
      <c r="B1940" s="73"/>
      <c r="C1940" s="75"/>
      <c r="D1940" s="74"/>
      <c r="E1940" s="74" t="s">
        <v>14</v>
      </c>
      <c r="F1940" s="76">
        <f>AVERAGE(F1925:F1939)</f>
        <v>0.10780014263596167</v>
      </c>
      <c r="G1940" s="75">
        <f>AVERAGE(G1925:G1939)</f>
        <v>3.3729583333333344</v>
      </c>
      <c r="H1940" s="74"/>
      <c r="I1940" s="74"/>
    </row>
    <row r="1941" ht="12.75">
      <c r="I1941" s="70"/>
    </row>
    <row r="1942" spans="1:9" ht="12.75">
      <c r="A1942" s="79" t="s">
        <v>0</v>
      </c>
      <c r="B1942" s="79" t="s">
        <v>1</v>
      </c>
      <c r="C1942" s="80" t="s">
        <v>303</v>
      </c>
      <c r="D1942" s="80" t="s">
        <v>194</v>
      </c>
      <c r="E1942" s="80" t="s">
        <v>218</v>
      </c>
      <c r="F1942" s="80" t="s">
        <v>5</v>
      </c>
      <c r="G1942" s="80" t="s">
        <v>6</v>
      </c>
      <c r="H1942" s="80" t="s">
        <v>7</v>
      </c>
      <c r="I1942" s="80" t="s">
        <v>8</v>
      </c>
    </row>
    <row r="1943" spans="1:9" ht="12.75">
      <c r="A1943" s="79" t="s">
        <v>298</v>
      </c>
      <c r="B1943" s="79" t="s">
        <v>44</v>
      </c>
      <c r="C1943" s="81">
        <f>(6/5)^1.63*E1943</f>
        <v>31.619023098231374</v>
      </c>
      <c r="D1943" s="80">
        <v>30.6</v>
      </c>
      <c r="E1943" s="80">
        <v>23.49</v>
      </c>
      <c r="F1943" s="82">
        <f>-((D1943-C1943)/D1943)</f>
        <v>0.03330140843893373</v>
      </c>
      <c r="G1943" s="81">
        <f>C1943-D1943</f>
        <v>1.0190230982313722</v>
      </c>
      <c r="H1943" s="80">
        <v>740</v>
      </c>
      <c r="I1943" s="80" t="s">
        <v>293</v>
      </c>
    </row>
    <row r="1944" spans="2:9" ht="12.75">
      <c r="B1944" s="79" t="s">
        <v>92</v>
      </c>
      <c r="C1944" s="81">
        <f>(6/5)^1.63*E1944</f>
        <v>39.88385076205175</v>
      </c>
      <c r="D1944" s="80">
        <v>39.05</v>
      </c>
      <c r="E1944" s="80">
        <v>29.63</v>
      </c>
      <c r="F1944" s="82">
        <f>-((D1944-C1944)/D1944)</f>
        <v>0.02135341260055706</v>
      </c>
      <c r="G1944" s="81">
        <f>C1944-D1944</f>
        <v>0.8338507620517532</v>
      </c>
      <c r="H1944" s="80">
        <v>740</v>
      </c>
      <c r="I1944" s="80" t="s">
        <v>293</v>
      </c>
    </row>
    <row r="1945" spans="2:9" ht="12.75">
      <c r="B1945" s="79" t="s">
        <v>93</v>
      </c>
      <c r="C1945" s="81">
        <f>(6/5)^1.63*E1945</f>
        <v>28.280786517404906</v>
      </c>
      <c r="D1945" s="80">
        <v>27.69</v>
      </c>
      <c r="E1945" s="80">
        <v>21.01</v>
      </c>
      <c r="F1945" s="82">
        <f>-((D1945-C1945)/D1945)</f>
        <v>0.021335735550917452</v>
      </c>
      <c r="G1945" s="81">
        <f>C1945-D1945</f>
        <v>0.5907865174049043</v>
      </c>
      <c r="H1945" s="80">
        <v>740</v>
      </c>
      <c r="I1945" s="80" t="s">
        <v>293</v>
      </c>
    </row>
    <row r="1946" spans="2:9" ht="12.75">
      <c r="B1946" s="79" t="s">
        <v>104</v>
      </c>
      <c r="C1946" s="81">
        <f>(6/5)^1.63*E1946</f>
        <v>30.47486943141585</v>
      </c>
      <c r="D1946" s="80">
        <v>30.25</v>
      </c>
      <c r="E1946" s="80">
        <v>22.64</v>
      </c>
      <c r="F1946" s="82">
        <f>-((D1946-C1946)/D1946)</f>
        <v>0.007433700212094234</v>
      </c>
      <c r="G1946" s="81">
        <f>C1946-D1946</f>
        <v>0.22486943141585058</v>
      </c>
      <c r="H1946" s="80">
        <v>740</v>
      </c>
      <c r="I1946" s="80" t="s">
        <v>293</v>
      </c>
    </row>
    <row r="1947" spans="2:9" ht="12.75">
      <c r="B1947" s="79" t="s">
        <v>46</v>
      </c>
      <c r="C1947" s="81">
        <f>(6/5)^1.63*E1947</f>
        <v>20.16402579870183</v>
      </c>
      <c r="D1947" s="80">
        <v>20.08</v>
      </c>
      <c r="E1947" s="80">
        <v>14.98</v>
      </c>
      <c r="F1947" s="82">
        <f>-((D1947-C1947)/D1947)</f>
        <v>0.004184551728178809</v>
      </c>
      <c r="G1947" s="81">
        <f>C1947-D1947</f>
        <v>0.08402579870183047</v>
      </c>
      <c r="H1947" s="80">
        <v>740</v>
      </c>
      <c r="I1947" s="80" t="s">
        <v>293</v>
      </c>
    </row>
    <row r="1948" spans="2:9" ht="12.75">
      <c r="B1948" s="79" t="s">
        <v>50</v>
      </c>
      <c r="C1948" s="81">
        <f>(6/5)^1.63*E1948</f>
        <v>28.95381808611992</v>
      </c>
      <c r="D1948" s="80">
        <v>29.02</v>
      </c>
      <c r="E1948" s="80">
        <v>21.51</v>
      </c>
      <c r="F1948" s="82">
        <f>-((D1948-C1948)/D1948)</f>
        <v>-0.0022805621598924685</v>
      </c>
      <c r="G1948" s="81">
        <f>C1948-D1948</f>
        <v>-0.06618191388007943</v>
      </c>
      <c r="H1948" s="80">
        <v>740</v>
      </c>
      <c r="I1948" s="80" t="s">
        <v>293</v>
      </c>
    </row>
    <row r="1949" spans="2:9" ht="12.75">
      <c r="B1949" s="79" t="s">
        <v>84</v>
      </c>
      <c r="C1949" s="81">
        <f>(6/5)^1.63*E1949</f>
        <v>23.246510383416595</v>
      </c>
      <c r="D1949" s="80">
        <v>23.49</v>
      </c>
      <c r="E1949" s="80">
        <v>17.27</v>
      </c>
      <c r="F1949" s="82">
        <f>-((D1949-C1949)/D1949)</f>
        <v>-0.010365671204061443</v>
      </c>
      <c r="G1949" s="81">
        <f>C1949-D1949</f>
        <v>-0.2434896165834033</v>
      </c>
      <c r="H1949" s="80">
        <v>740</v>
      </c>
      <c r="I1949" s="80" t="s">
        <v>293</v>
      </c>
    </row>
    <row r="1950" spans="2:9" ht="12.75">
      <c r="B1950" s="79" t="s">
        <v>83</v>
      </c>
      <c r="C1950" s="81">
        <f>(6/5)^1.63*E1950</f>
        <v>35.64375187914716</v>
      </c>
      <c r="D1950" s="80">
        <v>36.11</v>
      </c>
      <c r="E1950" s="80">
        <v>26.48</v>
      </c>
      <c r="F1950" s="82">
        <f>-((D1950-C1950)/D1950)</f>
        <v>-0.012911883712346693</v>
      </c>
      <c r="G1950" s="81">
        <f>C1950-D1950</f>
        <v>-0.46624812085283907</v>
      </c>
      <c r="H1950" s="80">
        <v>740</v>
      </c>
      <c r="I1950" s="80" t="s">
        <v>293</v>
      </c>
    </row>
    <row r="1951" spans="2:9" ht="12.75">
      <c r="B1951" s="79" t="s">
        <v>103</v>
      </c>
      <c r="C1951" s="81">
        <f>(6/5)^1.63*E1951</f>
        <v>35.42838177715836</v>
      </c>
      <c r="D1951" s="80">
        <v>36</v>
      </c>
      <c r="E1951" s="80">
        <v>26.32</v>
      </c>
      <c r="F1951" s="82">
        <f>-((D1951-C1951)/D1951)</f>
        <v>-0.01587828396782341</v>
      </c>
      <c r="G1951" s="81">
        <f>C1951-D1951</f>
        <v>-0.5716182228416429</v>
      </c>
      <c r="H1951" s="80">
        <v>740</v>
      </c>
      <c r="I1951" s="80" t="s">
        <v>293</v>
      </c>
    </row>
    <row r="1952" spans="2:9" ht="12.75">
      <c r="B1952" s="79" t="s">
        <v>98</v>
      </c>
      <c r="C1952" s="81">
        <f>(6/5)^1.63*E1952</f>
        <v>39.03583098547083</v>
      </c>
      <c r="D1952" s="80">
        <v>39.69</v>
      </c>
      <c r="E1952" s="80">
        <v>29</v>
      </c>
      <c r="F1952" s="82">
        <f>-((D1952-C1952)/D1952)</f>
        <v>-0.016481960557550183</v>
      </c>
      <c r="G1952" s="81">
        <f>C1952-D1952</f>
        <v>-0.6541690145291668</v>
      </c>
      <c r="H1952" s="80">
        <v>740</v>
      </c>
      <c r="I1952" s="80" t="s">
        <v>293</v>
      </c>
    </row>
    <row r="1953" spans="2:9" ht="12.75">
      <c r="B1953" s="79" t="s">
        <v>105</v>
      </c>
      <c r="C1953" s="81">
        <f>(6/5)^1.63*E1953</f>
        <v>28.71152672138251</v>
      </c>
      <c r="D1953" s="80">
        <v>29.23</v>
      </c>
      <c r="E1953" s="80">
        <v>21.33</v>
      </c>
      <c r="F1953" s="82">
        <f>-((D1953-C1953)/D1953)</f>
        <v>-0.01773771052403325</v>
      </c>
      <c r="G1953" s="81">
        <f>C1953-D1953</f>
        <v>-0.5184732786174919</v>
      </c>
      <c r="H1953" s="80">
        <v>740</v>
      </c>
      <c r="I1953" s="80" t="s">
        <v>293</v>
      </c>
    </row>
    <row r="1954" spans="2:9" ht="12.75">
      <c r="B1954" s="79"/>
      <c r="C1954" s="81"/>
      <c r="D1954" s="80"/>
      <c r="E1954" s="80" t="s">
        <v>14</v>
      </c>
      <c r="F1954" s="82">
        <f>AVERAGE(F1943:F1953)</f>
        <v>0.0010866124004521665</v>
      </c>
      <c r="G1954" s="81">
        <f>AVERAGE(G1943:G1953)</f>
        <v>0.0211250400455534</v>
      </c>
      <c r="H1954" s="80"/>
      <c r="I1954" s="80"/>
    </row>
    <row r="1955" spans="2:9" ht="12.75">
      <c r="B1955" s="79"/>
      <c r="C1955" s="81"/>
      <c r="D1955" s="80"/>
      <c r="E1955" s="80"/>
      <c r="F1955" s="82"/>
      <c r="G1955" s="81"/>
      <c r="H1955" s="80"/>
      <c r="I1955" s="80"/>
    </row>
    <row r="1956" spans="1:9" ht="12.75">
      <c r="A1956" s="83" t="s">
        <v>0</v>
      </c>
      <c r="B1956" s="83" t="s">
        <v>1</v>
      </c>
      <c r="C1956" s="84" t="s">
        <v>247</v>
      </c>
      <c r="D1956" s="84" t="s">
        <v>194</v>
      </c>
      <c r="E1956" s="84" t="s">
        <v>218</v>
      </c>
      <c r="F1956" s="84" t="s">
        <v>5</v>
      </c>
      <c r="G1956" s="84" t="s">
        <v>6</v>
      </c>
      <c r="H1956" s="84" t="s">
        <v>7</v>
      </c>
      <c r="I1956" s="84" t="s">
        <v>8</v>
      </c>
    </row>
    <row r="1957" spans="1:9" ht="12.75">
      <c r="A1957" s="83" t="s">
        <v>298</v>
      </c>
      <c r="B1957" s="83" t="s">
        <v>44</v>
      </c>
      <c r="C1957" s="85">
        <f>(6/5)^2*E1957</f>
        <v>33.825599999999994</v>
      </c>
      <c r="D1957" s="84">
        <v>30.6</v>
      </c>
      <c r="E1957" s="84">
        <v>23.49</v>
      </c>
      <c r="F1957" s="86">
        <f>-((D1957-C1957)/D1957)</f>
        <v>0.10541176470588212</v>
      </c>
      <c r="G1957" s="85">
        <f>C1957-D1957</f>
        <v>3.225599999999993</v>
      </c>
      <c r="H1957" s="84">
        <v>740</v>
      </c>
      <c r="I1957" s="84" t="s">
        <v>293</v>
      </c>
    </row>
    <row r="1958" spans="1:9" ht="12.75">
      <c r="A1958" s="5"/>
      <c r="B1958" s="83" t="s">
        <v>92</v>
      </c>
      <c r="C1958" s="85">
        <f>(6/5)^2*E1958</f>
        <v>42.667199999999994</v>
      </c>
      <c r="D1958" s="84">
        <v>39.05</v>
      </c>
      <c r="E1958" s="84">
        <v>29.63</v>
      </c>
      <c r="F1958" s="86">
        <f>-((D1958-C1958)/D1958)</f>
        <v>0.09262996158770799</v>
      </c>
      <c r="G1958" s="85">
        <f>C1958-D1958</f>
        <v>3.617199999999997</v>
      </c>
      <c r="H1958" s="84">
        <v>740</v>
      </c>
      <c r="I1958" s="84" t="s">
        <v>293</v>
      </c>
    </row>
    <row r="1959" spans="1:9" ht="12.75">
      <c r="A1959" s="5"/>
      <c r="B1959" s="83" t="s">
        <v>93</v>
      </c>
      <c r="C1959" s="85">
        <f>(6/5)^2*E1959</f>
        <v>30.2544</v>
      </c>
      <c r="D1959" s="84">
        <v>27.69</v>
      </c>
      <c r="E1959" s="84">
        <v>21.01</v>
      </c>
      <c r="F1959" s="86">
        <f>-((D1959-C1959)/D1959)</f>
        <v>0.09261105092091004</v>
      </c>
      <c r="G1959" s="85">
        <f>C1959-D1959</f>
        <v>2.564399999999999</v>
      </c>
      <c r="H1959" s="84">
        <v>740</v>
      </c>
      <c r="I1959" s="84" t="s">
        <v>293</v>
      </c>
    </row>
    <row r="1960" spans="1:9" ht="12.75">
      <c r="A1960" s="5"/>
      <c r="B1960" s="83" t="s">
        <v>104</v>
      </c>
      <c r="C1960" s="85">
        <f>(6/5)^2*E1960</f>
        <v>32.6016</v>
      </c>
      <c r="D1960" s="84">
        <v>30.25</v>
      </c>
      <c r="E1960" s="84">
        <v>22.64</v>
      </c>
      <c r="F1960" s="86">
        <f>-((D1960-C1960)/D1960)</f>
        <v>0.07773884297520653</v>
      </c>
      <c r="G1960" s="85">
        <f>C1960-D1960</f>
        <v>2.3515999999999977</v>
      </c>
      <c r="H1960" s="84">
        <v>740</v>
      </c>
      <c r="I1960" s="84" t="s">
        <v>293</v>
      </c>
    </row>
    <row r="1961" spans="1:9" ht="12.75">
      <c r="A1961" s="5"/>
      <c r="B1961" s="83" t="s">
        <v>46</v>
      </c>
      <c r="C1961" s="85">
        <f>(6/5)^2*E1961</f>
        <v>21.5712</v>
      </c>
      <c r="D1961" s="84">
        <v>20.08</v>
      </c>
      <c r="E1961" s="84">
        <v>14.98</v>
      </c>
      <c r="F1961" s="86">
        <f>-((D1961-C1961)/D1961)</f>
        <v>0.07426294820717146</v>
      </c>
      <c r="G1961" s="85">
        <f>C1961-D1961</f>
        <v>1.4912000000000027</v>
      </c>
      <c r="H1961" s="84">
        <v>740</v>
      </c>
      <c r="I1961" s="84" t="s">
        <v>293</v>
      </c>
    </row>
    <row r="1962" spans="1:9" ht="12.75">
      <c r="A1962" s="5"/>
      <c r="B1962" s="83" t="s">
        <v>50</v>
      </c>
      <c r="C1962" s="85">
        <f>(6/5)^2*E1962</f>
        <v>30.974400000000003</v>
      </c>
      <c r="D1962" s="84">
        <v>29.02</v>
      </c>
      <c r="E1962" s="84">
        <v>21.51</v>
      </c>
      <c r="F1962" s="86">
        <f>-((D1962-C1962)/D1962)</f>
        <v>0.06734665747760177</v>
      </c>
      <c r="G1962" s="85">
        <f>C1962-D1962</f>
        <v>1.9544000000000032</v>
      </c>
      <c r="H1962" s="84">
        <v>740</v>
      </c>
      <c r="I1962" s="84" t="s">
        <v>293</v>
      </c>
    </row>
    <row r="1963" spans="1:9" ht="12.75">
      <c r="A1963" s="5"/>
      <c r="B1963" s="83" t="s">
        <v>84</v>
      </c>
      <c r="C1963" s="85">
        <f>(6/5)^2*E1963</f>
        <v>24.8688</v>
      </c>
      <c r="D1963" s="84">
        <v>23.49</v>
      </c>
      <c r="E1963" s="84">
        <v>17.27</v>
      </c>
      <c r="F1963" s="86">
        <f>-((D1963-C1963)/D1963)</f>
        <v>0.05869731800766292</v>
      </c>
      <c r="G1963" s="85">
        <f>C1963-D1963</f>
        <v>1.3788000000000018</v>
      </c>
      <c r="H1963" s="84">
        <v>740</v>
      </c>
      <c r="I1963" s="84" t="s">
        <v>293</v>
      </c>
    </row>
    <row r="1964" spans="1:9" ht="12.75">
      <c r="A1964" s="5"/>
      <c r="B1964" s="83" t="s">
        <v>83</v>
      </c>
      <c r="C1964" s="85">
        <f>(6/5)^2*E1964</f>
        <v>38.1312</v>
      </c>
      <c r="D1964" s="84">
        <v>36.11</v>
      </c>
      <c r="E1964" s="84">
        <v>26.48</v>
      </c>
      <c r="F1964" s="86">
        <f>-((D1964-C1964)/D1964)</f>
        <v>0.055973414566602056</v>
      </c>
      <c r="G1964" s="85">
        <f>C1964-D1964</f>
        <v>2.0212000000000003</v>
      </c>
      <c r="H1964" s="84">
        <v>740</v>
      </c>
      <c r="I1964" s="84" t="s">
        <v>293</v>
      </c>
    </row>
    <row r="1965" spans="1:9" ht="12.75">
      <c r="A1965" s="5"/>
      <c r="B1965" s="83" t="s">
        <v>103</v>
      </c>
      <c r="C1965" s="85">
        <f>(6/5)^2*E1965</f>
        <v>37.9008</v>
      </c>
      <c r="D1965" s="84">
        <v>36</v>
      </c>
      <c r="E1965" s="84">
        <v>26.32</v>
      </c>
      <c r="F1965" s="86">
        <f>-((D1965-C1965)/D1965)</f>
        <v>0.05279999999999991</v>
      </c>
      <c r="G1965" s="85">
        <f>C1965-D1965</f>
        <v>1.9007999999999967</v>
      </c>
      <c r="H1965" s="84">
        <v>740</v>
      </c>
      <c r="I1965" s="84" t="s">
        <v>293</v>
      </c>
    </row>
    <row r="1966" spans="1:9" ht="12.75">
      <c r="A1966" s="5"/>
      <c r="B1966" s="83" t="s">
        <v>98</v>
      </c>
      <c r="C1966" s="85">
        <f>(6/5)^2*E1966</f>
        <v>41.76</v>
      </c>
      <c r="D1966" s="84">
        <v>39.69</v>
      </c>
      <c r="E1966" s="84">
        <v>29</v>
      </c>
      <c r="F1966" s="86">
        <f>-((D1966-C1966)/D1966)</f>
        <v>0.052154195011337875</v>
      </c>
      <c r="G1966" s="85">
        <f>C1966-D1966</f>
        <v>2.0700000000000003</v>
      </c>
      <c r="H1966" s="84">
        <v>740</v>
      </c>
      <c r="I1966" s="84" t="s">
        <v>293</v>
      </c>
    </row>
    <row r="1967" spans="1:9" ht="12.75">
      <c r="A1967" s="5"/>
      <c r="B1967" s="83" t="s">
        <v>105</v>
      </c>
      <c r="C1967" s="85">
        <f>(6/5)^2*E1967</f>
        <v>30.715199999999996</v>
      </c>
      <c r="D1967" s="84">
        <v>29.23</v>
      </c>
      <c r="E1967" s="84">
        <v>21.33</v>
      </c>
      <c r="F1967" s="86">
        <f>-((D1967-C1967)/D1967)</f>
        <v>0.05081081081081065</v>
      </c>
      <c r="G1967" s="85">
        <f>C1967-D1967</f>
        <v>1.4851999999999954</v>
      </c>
      <c r="H1967" s="84">
        <v>740</v>
      </c>
      <c r="I1967" s="84" t="s">
        <v>293</v>
      </c>
    </row>
    <row r="1968" spans="1:9" ht="12.75">
      <c r="A1968" s="5"/>
      <c r="B1968" s="83"/>
      <c r="C1968" s="85"/>
      <c r="D1968" s="84"/>
      <c r="E1968" s="84" t="s">
        <v>14</v>
      </c>
      <c r="F1968" s="86">
        <f>AVERAGE(F1957:F1967)</f>
        <v>0.07094881493371757</v>
      </c>
      <c r="G1968" s="85">
        <f>AVERAGE(G1957:G1967)</f>
        <v>2.1873090909090895</v>
      </c>
      <c r="H1968" s="84"/>
      <c r="I1968" s="84"/>
    </row>
    <row r="1969" spans="1:9" ht="12.75">
      <c r="A1969" s="5"/>
      <c r="B1969" s="83"/>
      <c r="C1969" s="85"/>
      <c r="D1969" s="84"/>
      <c r="E1969" s="84"/>
      <c r="F1969" s="86"/>
      <c r="G1969" s="85"/>
      <c r="H1969" s="84"/>
      <c r="I1969" s="84"/>
    </row>
    <row r="1970" spans="1:9" ht="12.75">
      <c r="A1970" s="20" t="s">
        <v>0</v>
      </c>
      <c r="B1970" s="20" t="s">
        <v>1</v>
      </c>
      <c r="C1970" s="16" t="s">
        <v>228</v>
      </c>
      <c r="D1970" s="16" t="s">
        <v>73</v>
      </c>
      <c r="E1970" s="16" t="s">
        <v>3</v>
      </c>
      <c r="F1970" s="16" t="s">
        <v>5</v>
      </c>
      <c r="G1970" s="16" t="s">
        <v>6</v>
      </c>
      <c r="H1970" s="16" t="s">
        <v>7</v>
      </c>
      <c r="I1970" s="16" t="s">
        <v>8</v>
      </c>
    </row>
    <row r="1971" spans="1:9" ht="12.75">
      <c r="A1971" s="20" t="s">
        <v>304</v>
      </c>
      <c r="B1971" s="20" t="s">
        <v>96</v>
      </c>
      <c r="C1971" s="21">
        <f>(4/3)^1.78*E1971</f>
        <v>72.9410074877071</v>
      </c>
      <c r="D1971" s="16">
        <v>73.29</v>
      </c>
      <c r="E1971" s="16">
        <v>43.71</v>
      </c>
      <c r="F1971" s="22">
        <f>-((D1971-C1971)/D1971)</f>
        <v>-0.0047618025964375685</v>
      </c>
      <c r="G1971" s="21">
        <f>C1971-D1971</f>
        <v>-0.3489925122929094</v>
      </c>
      <c r="H1971" s="16">
        <v>890</v>
      </c>
      <c r="I1971" s="16" t="s">
        <v>305</v>
      </c>
    </row>
    <row r="1972" spans="2:9" ht="12.75">
      <c r="B1972" s="20" t="s">
        <v>98</v>
      </c>
      <c r="C1972" s="21">
        <f>(4/3)^1.78*E1972</f>
        <v>64.8475760917936</v>
      </c>
      <c r="D1972" s="16">
        <v>66.28</v>
      </c>
      <c r="E1972" s="16">
        <v>38.86</v>
      </c>
      <c r="F1972" s="22">
        <f>-((D1972-C1972)/D1972)</f>
        <v>-0.02161170652091736</v>
      </c>
      <c r="G1972" s="21">
        <f>C1972-D1972</f>
        <v>-1.4324239082064025</v>
      </c>
      <c r="H1972" s="16">
        <v>890</v>
      </c>
      <c r="I1972" s="16" t="s">
        <v>305</v>
      </c>
    </row>
    <row r="1973" spans="2:9" ht="12.75">
      <c r="B1973" s="20" t="s">
        <v>103</v>
      </c>
      <c r="C1973" s="21">
        <f>(4/3)^1.78*E1973</f>
        <v>58.94020554714744</v>
      </c>
      <c r="D1973" s="16">
        <v>58.31</v>
      </c>
      <c r="E1973" s="16">
        <v>35.32</v>
      </c>
      <c r="F1973" s="22">
        <f>-((D1973-C1973)/D1973)</f>
        <v>0.010807846804106335</v>
      </c>
      <c r="G1973" s="21">
        <f>C1973-D1973</f>
        <v>0.6302055471474404</v>
      </c>
      <c r="H1973" s="16">
        <v>890</v>
      </c>
      <c r="I1973" s="16" t="s">
        <v>305</v>
      </c>
    </row>
    <row r="1974" spans="2:9" ht="12.75">
      <c r="B1974" s="20" t="s">
        <v>107</v>
      </c>
      <c r="C1974" s="21">
        <f>(4/3)^1.78*E1974</f>
        <v>66.4662623709763</v>
      </c>
      <c r="D1974" s="16">
        <v>64.94</v>
      </c>
      <c r="E1974" s="16">
        <v>39.83</v>
      </c>
      <c r="F1974" s="22">
        <f>-((D1974-C1974)/D1974)</f>
        <v>0.023502654311307325</v>
      </c>
      <c r="G1974" s="21">
        <f>C1974-D1974</f>
        <v>1.5262623709762977</v>
      </c>
      <c r="H1974" s="16">
        <v>890</v>
      </c>
      <c r="I1974" s="16" t="s">
        <v>305</v>
      </c>
    </row>
    <row r="1975" spans="2:9" ht="12.75">
      <c r="B1975" s="20"/>
      <c r="C1975" s="21"/>
      <c r="D1975" s="16"/>
      <c r="E1975" s="16" t="s">
        <v>14</v>
      </c>
      <c r="F1975" s="22">
        <f>AVERAGE(F1971:F1974)</f>
        <v>0.001984247999514683</v>
      </c>
      <c r="G1975" s="21">
        <f>AVERAGE(G1971:G1974)</f>
        <v>0.09376287440610653</v>
      </c>
      <c r="H1975" s="16"/>
      <c r="I1975" s="16"/>
    </row>
    <row r="1976" spans="2:9" ht="12.75">
      <c r="B1976" s="20"/>
      <c r="C1976" s="21"/>
      <c r="D1976" s="16"/>
      <c r="E1976" s="16"/>
      <c r="F1976" s="22"/>
      <c r="G1976" s="21"/>
      <c r="H1976" s="16"/>
      <c r="I1976" s="16"/>
    </row>
    <row r="1977" spans="1:9" ht="12.75">
      <c r="A1977" s="23" t="s">
        <v>0</v>
      </c>
      <c r="B1977" s="23" t="s">
        <v>1</v>
      </c>
      <c r="C1977" s="18" t="s">
        <v>74</v>
      </c>
      <c r="D1977" s="18" t="s">
        <v>73</v>
      </c>
      <c r="E1977" s="18" t="s">
        <v>3</v>
      </c>
      <c r="F1977" s="18" t="s">
        <v>5</v>
      </c>
      <c r="G1977" s="18" t="s">
        <v>6</v>
      </c>
      <c r="H1977" s="18" t="s">
        <v>7</v>
      </c>
      <c r="I1977" s="18" t="s">
        <v>8</v>
      </c>
    </row>
    <row r="1978" spans="1:9" ht="12.75">
      <c r="A1978" s="23" t="s">
        <v>304</v>
      </c>
      <c r="B1978" s="23" t="s">
        <v>96</v>
      </c>
      <c r="C1978" s="24">
        <f>(4/3)^2*E1978</f>
        <v>77.70666666666666</v>
      </c>
      <c r="D1978" s="18">
        <v>73.29</v>
      </c>
      <c r="E1978" s="18">
        <v>43.71</v>
      </c>
      <c r="F1978" s="25">
        <f>-((D1978-C1978)/D1978)</f>
        <v>0.060262882612452676</v>
      </c>
      <c r="G1978" s="24">
        <f>C1978-D1978</f>
        <v>4.416666666666657</v>
      </c>
      <c r="H1978" s="18">
        <v>890</v>
      </c>
      <c r="I1978" s="18" t="s">
        <v>305</v>
      </c>
    </row>
    <row r="1979" spans="1:9" ht="12.75">
      <c r="A1979" s="5"/>
      <c r="B1979" s="23" t="s">
        <v>98</v>
      </c>
      <c r="C1979" s="24">
        <f>(4/3)^2*E1979</f>
        <v>69.08444444444444</v>
      </c>
      <c r="D1979" s="18">
        <v>66.28</v>
      </c>
      <c r="E1979" s="18">
        <v>38.86</v>
      </c>
      <c r="F1979" s="25">
        <f>-((D1979-C1979)/D1979)</f>
        <v>0.04231207671159388</v>
      </c>
      <c r="G1979" s="24">
        <f>C1979-D1979</f>
        <v>2.8044444444444423</v>
      </c>
      <c r="H1979" s="18">
        <v>890</v>
      </c>
      <c r="I1979" s="18" t="s">
        <v>305</v>
      </c>
    </row>
    <row r="1980" spans="1:9" ht="12.75">
      <c r="A1980" s="5"/>
      <c r="B1980" s="23" t="s">
        <v>103</v>
      </c>
      <c r="C1980" s="24">
        <f>(4/3)^2*E1980</f>
        <v>62.79111111111111</v>
      </c>
      <c r="D1980" s="18">
        <v>58.31</v>
      </c>
      <c r="E1980" s="18">
        <v>35.32</v>
      </c>
      <c r="F1980" s="25">
        <f>-((D1980-C1980)/D1980)</f>
        <v>0.07684978753406113</v>
      </c>
      <c r="G1980" s="24">
        <f>C1980-D1980</f>
        <v>4.481111111111105</v>
      </c>
      <c r="H1980" s="18">
        <v>890</v>
      </c>
      <c r="I1980" s="18" t="s">
        <v>305</v>
      </c>
    </row>
    <row r="1981" spans="1:9" ht="12.75">
      <c r="A1981" s="5"/>
      <c r="B1981" s="23" t="s">
        <v>107</v>
      </c>
      <c r="C1981" s="24">
        <f>(4/3)^2*E1981</f>
        <v>70.80888888888889</v>
      </c>
      <c r="D1981" s="18">
        <v>64.94</v>
      </c>
      <c r="E1981" s="18">
        <v>39.83</v>
      </c>
      <c r="F1981" s="25">
        <f>-((D1981-C1981)/D1981)</f>
        <v>0.09037402046333369</v>
      </c>
      <c r="G1981" s="24">
        <f>C1981-D1981</f>
        <v>5.86888888888889</v>
      </c>
      <c r="H1981" s="18">
        <v>890</v>
      </c>
      <c r="I1981" s="18" t="s">
        <v>305</v>
      </c>
    </row>
    <row r="1982" spans="1:9" ht="12.75">
      <c r="A1982" s="5"/>
      <c r="B1982" s="23"/>
      <c r="C1982" s="24"/>
      <c r="D1982" s="18"/>
      <c r="E1982" s="18" t="s">
        <v>14</v>
      </c>
      <c r="F1982" s="25">
        <f>AVERAGE(F1978:F1981)</f>
        <v>0.06744969183036034</v>
      </c>
      <c r="G1982" s="24">
        <f>AVERAGE(G1978:G1981)</f>
        <v>4.3927777777777735</v>
      </c>
      <c r="H1982" s="18"/>
      <c r="I1982" s="18"/>
    </row>
    <row r="1983" spans="2:9" ht="12.75">
      <c r="B1983" s="20"/>
      <c r="C1983" s="21"/>
      <c r="D1983" s="16"/>
      <c r="E1983" s="16"/>
      <c r="F1983" s="22"/>
      <c r="G1983" s="21"/>
      <c r="H1983" s="16"/>
      <c r="I1983" s="16"/>
    </row>
    <row r="1984" spans="1:9" ht="12.75">
      <c r="A1984" s="20" t="s">
        <v>0</v>
      </c>
      <c r="B1984" s="20" t="s">
        <v>1</v>
      </c>
      <c r="C1984" s="16" t="s">
        <v>306</v>
      </c>
      <c r="D1984" s="16" t="s">
        <v>73</v>
      </c>
      <c r="E1984" s="16" t="s">
        <v>3</v>
      </c>
      <c r="F1984" s="16" t="s">
        <v>5</v>
      </c>
      <c r="G1984" s="16" t="s">
        <v>6</v>
      </c>
      <c r="H1984" s="16" t="s">
        <v>7</v>
      </c>
      <c r="I1984" s="16" t="s">
        <v>8</v>
      </c>
    </row>
    <row r="1985" spans="1:9" ht="12.75">
      <c r="A1985" s="20" t="s">
        <v>307</v>
      </c>
      <c r="B1985" s="20" t="s">
        <v>288</v>
      </c>
      <c r="C1985" s="21">
        <f>(4/3)^1.67*E1985</f>
        <v>47.985672621210774</v>
      </c>
      <c r="D1985" s="16">
        <v>49.03</v>
      </c>
      <c r="E1985" s="16">
        <v>29.68</v>
      </c>
      <c r="F1985" s="22">
        <f>-((D1985-C1985)/D1985)</f>
        <v>-0.021299762977548983</v>
      </c>
      <c r="G1985" s="21">
        <f>C1985-D1985</f>
        <v>-1.0443273787892267</v>
      </c>
      <c r="H1985" s="16">
        <v>710</v>
      </c>
      <c r="I1985" s="16" t="s">
        <v>305</v>
      </c>
    </row>
    <row r="1986" spans="2:9" ht="12.75">
      <c r="B1986" s="20" t="s">
        <v>284</v>
      </c>
      <c r="C1986" s="21">
        <f>(4/3)^1.67*E1986</f>
        <v>59.626401828512584</v>
      </c>
      <c r="D1986" s="16">
        <v>59.47</v>
      </c>
      <c r="E1986" s="16">
        <v>36.88</v>
      </c>
      <c r="F1986" s="22">
        <f>-((D1986-C1986)/D1986)</f>
        <v>0.0026299281740808046</v>
      </c>
      <c r="G1986" s="21">
        <f>C1986-D1986</f>
        <v>0.15640182851258544</v>
      </c>
      <c r="H1986" s="16">
        <v>710</v>
      </c>
      <c r="I1986" s="16" t="s">
        <v>305</v>
      </c>
    </row>
    <row r="1987" spans="2:9" ht="12.75">
      <c r="B1987" s="20" t="s">
        <v>285</v>
      </c>
      <c r="C1987" s="21">
        <f>(4/3)^1.67*E1987</f>
        <v>66.99886365980372</v>
      </c>
      <c r="D1987" s="16">
        <v>65.34</v>
      </c>
      <c r="E1987" s="16">
        <v>41.44</v>
      </c>
      <c r="F1987" s="22">
        <f>-((D1987-C1987)/D1987)</f>
        <v>0.02538817967253924</v>
      </c>
      <c r="G1987" s="21">
        <f>C1987-D1987</f>
        <v>1.658863659803714</v>
      </c>
      <c r="H1987" s="16">
        <v>710</v>
      </c>
      <c r="I1987" s="16" t="s">
        <v>305</v>
      </c>
    </row>
    <row r="1988" spans="2:9" ht="12.75">
      <c r="B1988" s="20" t="s">
        <v>286</v>
      </c>
      <c r="C1988" s="21">
        <f>(4/3)^1.67*E1988</f>
        <v>52.94915021376863</v>
      </c>
      <c r="D1988" s="16">
        <v>53.12</v>
      </c>
      <c r="E1988" s="16">
        <v>32.75</v>
      </c>
      <c r="F1988" s="22">
        <f>-((D1988-C1988)/D1988)</f>
        <v>-0.00321629868658443</v>
      </c>
      <c r="G1988" s="21">
        <f>C1988-D1988</f>
        <v>-0.17084978623136493</v>
      </c>
      <c r="H1988" s="16">
        <v>710</v>
      </c>
      <c r="I1988" s="16" t="s">
        <v>305</v>
      </c>
    </row>
    <row r="1989" spans="2:9" ht="12.75">
      <c r="B1989" s="20" t="s">
        <v>289</v>
      </c>
      <c r="C1989" s="21">
        <f>(4/3)^1.67*E1989</f>
        <v>48.147349415756636</v>
      </c>
      <c r="D1989" s="16">
        <v>49.23</v>
      </c>
      <c r="E1989" s="16">
        <v>29.78</v>
      </c>
      <c r="F1989" s="22">
        <f>-((D1989-C1989)/D1989)</f>
        <v>-0.021991683612499705</v>
      </c>
      <c r="G1989" s="21">
        <f>C1989-D1989</f>
        <v>-1.0826505842433605</v>
      </c>
      <c r="H1989" s="16">
        <v>710</v>
      </c>
      <c r="I1989" s="16" t="s">
        <v>305</v>
      </c>
    </row>
    <row r="1990" spans="2:9" ht="12.75">
      <c r="B1990" s="20" t="s">
        <v>308</v>
      </c>
      <c r="C1990" s="21">
        <f>(4/3)^1.67*E1990</f>
        <v>61.437181927426195</v>
      </c>
      <c r="D1990" s="16">
        <v>58.6</v>
      </c>
      <c r="E1990" s="16">
        <v>38</v>
      </c>
      <c r="F1990" s="22">
        <f>-((D1990-C1990)/D1990)</f>
        <v>0.048416073846863375</v>
      </c>
      <c r="G1990" s="21">
        <f>C1990-D1990</f>
        <v>2.837181927426194</v>
      </c>
      <c r="H1990" s="16">
        <v>710</v>
      </c>
      <c r="I1990" s="16" t="s">
        <v>305</v>
      </c>
    </row>
    <row r="1991" spans="2:9" ht="12.75">
      <c r="B1991" s="20" t="s">
        <v>287</v>
      </c>
      <c r="C1991" s="21">
        <f>(4/3)^1.67*E1991</f>
        <v>52.51262286849481</v>
      </c>
      <c r="D1991" s="16">
        <v>52.52</v>
      </c>
      <c r="E1991" s="16">
        <v>32.48</v>
      </c>
      <c r="F1991" s="22">
        <f>-((D1991-C1991)/D1991)</f>
        <v>-0.00014046328075388912</v>
      </c>
      <c r="G1991" s="21">
        <f>C1991-D1991</f>
        <v>-0.0073771315051942565</v>
      </c>
      <c r="H1991" s="16">
        <v>710</v>
      </c>
      <c r="I1991" s="16" t="s">
        <v>305</v>
      </c>
    </row>
    <row r="1992" spans="2:9" ht="12.75">
      <c r="B1992" s="20" t="s">
        <v>242</v>
      </c>
      <c r="C1992" s="21">
        <f>(4/3)^1.67*E1992</f>
        <v>44.719801371384435</v>
      </c>
      <c r="D1992" s="16">
        <v>45.16</v>
      </c>
      <c r="E1992" s="16">
        <v>27.66</v>
      </c>
      <c r="F1992" s="22">
        <f>-((D1992-C1992)/D1992)</f>
        <v>-0.009747533848883126</v>
      </c>
      <c r="G1992" s="21">
        <f>C1992-D1992</f>
        <v>-0.4401986286155619</v>
      </c>
      <c r="H1992" s="16">
        <v>710</v>
      </c>
      <c r="I1992" s="16" t="s">
        <v>305</v>
      </c>
    </row>
    <row r="1993" spans="2:9" ht="12.75">
      <c r="B1993" s="20" t="s">
        <v>243</v>
      </c>
      <c r="C1993" s="21">
        <f>(4/3)^1.67*E1993</f>
        <v>44.509621538474825</v>
      </c>
      <c r="D1993" s="16">
        <v>44.53</v>
      </c>
      <c r="E1993" s="16">
        <v>27.53</v>
      </c>
      <c r="F1993" s="22">
        <f>-((D1993-C1993)/D1993)</f>
        <v>-0.00045763443802327206</v>
      </c>
      <c r="G1993" s="21">
        <f>C1993-D1993</f>
        <v>-0.020378461525176306</v>
      </c>
      <c r="H1993" s="16">
        <v>710</v>
      </c>
      <c r="I1993" s="16" t="s">
        <v>305</v>
      </c>
    </row>
    <row r="1994" spans="2:9" ht="12.75">
      <c r="B1994" s="20"/>
      <c r="C1994" s="21"/>
      <c r="D1994" s="16"/>
      <c r="E1994" s="16" t="s">
        <v>14</v>
      </c>
      <c r="F1994" s="22">
        <f>AVERAGE(F1985:F1993)</f>
        <v>0.0021756449832433357</v>
      </c>
      <c r="G1994" s="21">
        <f>AVERAGE(G1985:G1993)</f>
        <v>0.20962949387028987</v>
      </c>
      <c r="H1994" s="16"/>
      <c r="I1994" s="16"/>
    </row>
    <row r="1995" spans="2:9" ht="12.75">
      <c r="B1995" s="20"/>
      <c r="C1995" s="21"/>
      <c r="D1995" s="16"/>
      <c r="E1995" s="16"/>
      <c r="F1995" s="22"/>
      <c r="G1995" s="21"/>
      <c r="H1995" s="16"/>
      <c r="I1995" s="16"/>
    </row>
    <row r="1996" spans="1:9" ht="12.75">
      <c r="A1996" s="23" t="s">
        <v>0</v>
      </c>
      <c r="B1996" s="23" t="s">
        <v>1</v>
      </c>
      <c r="C1996" s="18" t="s">
        <v>74</v>
      </c>
      <c r="D1996" s="18" t="s">
        <v>73</v>
      </c>
      <c r="E1996" s="18" t="s">
        <v>3</v>
      </c>
      <c r="F1996" s="18" t="s">
        <v>5</v>
      </c>
      <c r="G1996" s="18" t="s">
        <v>6</v>
      </c>
      <c r="H1996" s="18" t="s">
        <v>7</v>
      </c>
      <c r="I1996" s="18" t="s">
        <v>8</v>
      </c>
    </row>
    <row r="1997" spans="1:9" ht="12.75">
      <c r="A1997" s="23" t="s">
        <v>307</v>
      </c>
      <c r="B1997" s="23" t="s">
        <v>288</v>
      </c>
      <c r="C1997" s="24">
        <f>(4/3)^2*E1997</f>
        <v>52.76444444444444</v>
      </c>
      <c r="D1997" s="18">
        <v>49.03</v>
      </c>
      <c r="E1997" s="18">
        <v>29.68</v>
      </c>
      <c r="F1997" s="25">
        <f>-((D1997-C1997)/D1997)</f>
        <v>0.07616651936456133</v>
      </c>
      <c r="G1997" s="24">
        <f>C1997-D1997</f>
        <v>3.734444444444442</v>
      </c>
      <c r="H1997" s="18">
        <v>710</v>
      </c>
      <c r="I1997" s="18" t="s">
        <v>305</v>
      </c>
    </row>
    <row r="1998" spans="1:9" ht="12.75">
      <c r="A1998" s="5"/>
      <c r="B1998" s="23" t="s">
        <v>284</v>
      </c>
      <c r="C1998" s="24">
        <f>(4/3)^2*E1998</f>
        <v>65.56444444444445</v>
      </c>
      <c r="D1998" s="18">
        <v>59.47</v>
      </c>
      <c r="E1998" s="18">
        <v>36.88</v>
      </c>
      <c r="F1998" s="25">
        <f>-((D1998-C1998)/D1998)</f>
        <v>0.10247930796106354</v>
      </c>
      <c r="G1998" s="24">
        <f>C1998-D1998</f>
        <v>6.0944444444444485</v>
      </c>
      <c r="H1998" s="18">
        <v>710</v>
      </c>
      <c r="I1998" s="18" t="s">
        <v>305</v>
      </c>
    </row>
    <row r="1999" spans="1:9" ht="12.75">
      <c r="A1999" s="5"/>
      <c r="B1999" s="23" t="s">
        <v>285</v>
      </c>
      <c r="C1999" s="24">
        <f>(4/3)^2*E1999</f>
        <v>73.6711111111111</v>
      </c>
      <c r="D1999" s="18">
        <v>65.34</v>
      </c>
      <c r="E1999" s="18">
        <v>41.44</v>
      </c>
      <c r="F1999" s="25">
        <f>-((D1999-C1999)/D1999)</f>
        <v>0.1275039961908647</v>
      </c>
      <c r="G1999" s="24">
        <f>C1999-D1999</f>
        <v>8.331111111111099</v>
      </c>
      <c r="H1999" s="18">
        <v>710</v>
      </c>
      <c r="I1999" s="18" t="s">
        <v>305</v>
      </c>
    </row>
    <row r="2000" spans="1:9" ht="12.75">
      <c r="A2000" s="5"/>
      <c r="B2000" s="23" t="s">
        <v>286</v>
      </c>
      <c r="C2000" s="24">
        <f>(4/3)^2*E2000</f>
        <v>58.22222222222222</v>
      </c>
      <c r="D2000" s="18">
        <v>53.12</v>
      </c>
      <c r="E2000" s="18">
        <v>32.75</v>
      </c>
      <c r="F2000" s="25">
        <f>-((D2000-C2000)/D2000)</f>
        <v>0.09605087014725573</v>
      </c>
      <c r="G2000" s="24">
        <f>C2000-D2000</f>
        <v>5.102222222222224</v>
      </c>
      <c r="H2000" s="18">
        <v>710</v>
      </c>
      <c r="I2000" s="18" t="s">
        <v>305</v>
      </c>
    </row>
    <row r="2001" spans="1:9" ht="12.75">
      <c r="A2001" s="5"/>
      <c r="B2001" s="23" t="s">
        <v>289</v>
      </c>
      <c r="C2001" s="24">
        <f>(4/3)^2*E2001</f>
        <v>52.94222222222222</v>
      </c>
      <c r="D2001" s="18">
        <v>49.23</v>
      </c>
      <c r="E2001" s="18">
        <v>29.78</v>
      </c>
      <c r="F2001" s="25">
        <f>-((D2001-C2001)/D2001)</f>
        <v>0.07540569210282802</v>
      </c>
      <c r="G2001" s="24">
        <f>C2001-D2001</f>
        <v>3.7122222222222234</v>
      </c>
      <c r="H2001" s="18">
        <v>710</v>
      </c>
      <c r="I2001" s="18" t="s">
        <v>305</v>
      </c>
    </row>
    <row r="2002" spans="1:9" ht="12.75">
      <c r="A2002" s="5"/>
      <c r="B2002" s="23" t="s">
        <v>308</v>
      </c>
      <c r="C2002" s="24">
        <f>(4/3)^2*E2002</f>
        <v>67.55555555555556</v>
      </c>
      <c r="D2002" s="18">
        <v>58.6</v>
      </c>
      <c r="E2002" s="18">
        <v>38</v>
      </c>
      <c r="F2002" s="25">
        <f>-((D2002-C2002)/D2002)</f>
        <v>0.1528251801289344</v>
      </c>
      <c r="G2002" s="24">
        <f>C2002-D2002</f>
        <v>8.955555555555556</v>
      </c>
      <c r="H2002" s="18">
        <v>710</v>
      </c>
      <c r="I2002" s="18" t="s">
        <v>305</v>
      </c>
    </row>
    <row r="2003" spans="1:9" ht="12.75">
      <c r="A2003" s="5"/>
      <c r="B2003" s="23" t="s">
        <v>287</v>
      </c>
      <c r="C2003" s="24">
        <f>(4/3)^2*E2003</f>
        <v>57.74222222222221</v>
      </c>
      <c r="D2003" s="18">
        <v>52.52</v>
      </c>
      <c r="E2003" s="18">
        <v>32.48</v>
      </c>
      <c r="F2003" s="25">
        <f>-((D2003-C2003)/D2003)</f>
        <v>0.09943302022509914</v>
      </c>
      <c r="G2003" s="24">
        <f>C2003-D2003</f>
        <v>5.222222222222207</v>
      </c>
      <c r="H2003" s="18">
        <v>710</v>
      </c>
      <c r="I2003" s="18" t="s">
        <v>305</v>
      </c>
    </row>
    <row r="2004" spans="1:9" ht="12.75">
      <c r="A2004" s="5"/>
      <c r="B2004" s="23" t="s">
        <v>242</v>
      </c>
      <c r="C2004" s="24">
        <f>(4/3)^2*E2004</f>
        <v>49.17333333333333</v>
      </c>
      <c r="D2004" s="18">
        <v>45.16</v>
      </c>
      <c r="E2004" s="18">
        <v>27.66</v>
      </c>
      <c r="F2004" s="25">
        <f>-((D2004-C2004)/D2004)</f>
        <v>0.08886920578683206</v>
      </c>
      <c r="G2004" s="24">
        <f>C2004-D2004</f>
        <v>4.013333333333335</v>
      </c>
      <c r="H2004" s="18">
        <v>710</v>
      </c>
      <c r="I2004" s="18" t="s">
        <v>305</v>
      </c>
    </row>
    <row r="2005" spans="1:9" ht="12.75">
      <c r="A2005" s="5"/>
      <c r="B2005" s="23" t="s">
        <v>243</v>
      </c>
      <c r="C2005" s="24">
        <f>(4/3)^2*E2005</f>
        <v>48.94222222222222</v>
      </c>
      <c r="D2005" s="18">
        <v>44.53</v>
      </c>
      <c r="E2005" s="18">
        <v>27.53</v>
      </c>
      <c r="F2005" s="25">
        <f>-((D2005-C2005)/D2005)</f>
        <v>0.09908426279412125</v>
      </c>
      <c r="G2005" s="24">
        <f>C2005-D2005</f>
        <v>4.412222222222219</v>
      </c>
      <c r="H2005" s="18">
        <v>710</v>
      </c>
      <c r="I2005" s="18" t="s">
        <v>305</v>
      </c>
    </row>
    <row r="2006" spans="1:9" ht="12.75">
      <c r="A2006" s="5"/>
      <c r="B2006" s="23"/>
      <c r="C2006" s="24"/>
      <c r="D2006" s="18"/>
      <c r="E2006" s="18" t="s">
        <v>14</v>
      </c>
      <c r="F2006" s="25">
        <f>AVERAGE(F1997:F2005)</f>
        <v>0.10197978385572891</v>
      </c>
      <c r="G2006" s="24">
        <f>AVERAGE(G1997:G2005)</f>
        <v>5.508641975308639</v>
      </c>
      <c r="H2006" s="18"/>
      <c r="I2006" s="18"/>
    </row>
    <row r="2007" spans="2:8" ht="12.75">
      <c r="B2007" s="79"/>
      <c r="C2007" s="81"/>
      <c r="D2007" s="80"/>
      <c r="E2007" s="80"/>
      <c r="F2007" s="82"/>
      <c r="G2007" s="81"/>
      <c r="H2007" s="80"/>
    </row>
    <row r="2008" spans="1:9" ht="12.75">
      <c r="A2008" s="69" t="s">
        <v>0</v>
      </c>
      <c r="B2008" s="69" t="s">
        <v>1</v>
      </c>
      <c r="C2008" s="70" t="s">
        <v>217</v>
      </c>
      <c r="D2008" s="70" t="s">
        <v>73</v>
      </c>
      <c r="E2008" s="70" t="s">
        <v>3</v>
      </c>
      <c r="F2008" s="70" t="s">
        <v>5</v>
      </c>
      <c r="G2008" s="70" t="s">
        <v>6</v>
      </c>
      <c r="H2008" s="70" t="s">
        <v>7</v>
      </c>
      <c r="I2008" t="s">
        <v>8</v>
      </c>
    </row>
    <row r="2009" spans="1:9" ht="12.75">
      <c r="A2009" s="69" t="s">
        <v>307</v>
      </c>
      <c r="B2009" s="69" t="s">
        <v>96</v>
      </c>
      <c r="C2009" s="71">
        <f>(5/4)^1.81*E2009</f>
        <v>46.576571028084814</v>
      </c>
      <c r="D2009" s="70">
        <v>46.49</v>
      </c>
      <c r="E2009" s="70">
        <v>31.1</v>
      </c>
      <c r="F2009" s="72">
        <f>-((D2009-C2009)/D2009)</f>
        <v>0.0018621430003186057</v>
      </c>
      <c r="G2009" s="71">
        <f>C2009-D2009</f>
        <v>0.08657102808481199</v>
      </c>
      <c r="H2009" s="70">
        <v>710</v>
      </c>
      <c r="I2009" s="70" t="s">
        <v>305</v>
      </c>
    </row>
    <row r="2010" spans="2:9" ht="12.75">
      <c r="B2010" s="69" t="s">
        <v>148</v>
      </c>
      <c r="C2010" s="71">
        <f>(5/4)^1.81*E2010</f>
        <v>54.66382130305774</v>
      </c>
      <c r="D2010" s="70">
        <v>55.43</v>
      </c>
      <c r="E2010" s="70">
        <v>36.5</v>
      </c>
      <c r="F2010" s="72">
        <f>-((D2010-C2010)/D2010)</f>
        <v>-0.01382245529392499</v>
      </c>
      <c r="G2010" s="71">
        <f>C2010-D2010</f>
        <v>-0.7661786969422621</v>
      </c>
      <c r="H2010" s="70">
        <v>710</v>
      </c>
      <c r="I2010" s="70" t="s">
        <v>305</v>
      </c>
    </row>
    <row r="2011" spans="2:9" ht="12.75">
      <c r="B2011" s="69" t="s">
        <v>243</v>
      </c>
      <c r="C2011" s="71">
        <f>(5/4)^1.81*E2011</f>
        <v>66.68986198973045</v>
      </c>
      <c r="D2011" s="70">
        <v>63.93</v>
      </c>
      <c r="E2011" s="70">
        <v>44.53</v>
      </c>
      <c r="F2011" s="72">
        <f>-((D2011-C2011)/D2011)</f>
        <v>0.04317006084358589</v>
      </c>
      <c r="G2011" s="71">
        <f>C2011-D2011</f>
        <v>2.759861989730446</v>
      </c>
      <c r="H2011" s="70">
        <v>710</v>
      </c>
      <c r="I2011" s="70" t="s">
        <v>305</v>
      </c>
    </row>
    <row r="2012" spans="2:9" ht="12.75">
      <c r="B2012" s="69" t="s">
        <v>244</v>
      </c>
      <c r="C2012" s="71">
        <f>(5/4)^1.81*E2012</f>
        <v>57.38952417351158</v>
      </c>
      <c r="D2012" s="70">
        <v>57.78</v>
      </c>
      <c r="E2012" s="70">
        <v>38.32</v>
      </c>
      <c r="F2012" s="72">
        <f>-((D2012-C2012)/D2012)</f>
        <v>-0.0067579755363174005</v>
      </c>
      <c r="G2012" s="71">
        <f>C2012-D2012</f>
        <v>-0.3904758264884194</v>
      </c>
      <c r="H2012" s="70">
        <v>710</v>
      </c>
      <c r="I2012" s="70" t="s">
        <v>305</v>
      </c>
    </row>
    <row r="2013" spans="2:9" ht="12.75">
      <c r="B2013" s="69" t="s">
        <v>122</v>
      </c>
      <c r="C2013" s="71">
        <f>(5/4)^1.81*E2013</f>
        <v>53.70533238157947</v>
      </c>
      <c r="D2013" s="70">
        <v>54.3</v>
      </c>
      <c r="E2013" s="70">
        <v>35.86</v>
      </c>
      <c r="F2013" s="72">
        <f>-((D2013-C2013)/D2013)</f>
        <v>-0.010951521517873484</v>
      </c>
      <c r="G2013" s="71">
        <f>C2013-D2013</f>
        <v>-0.5946676184205302</v>
      </c>
      <c r="H2013" s="70">
        <v>710</v>
      </c>
      <c r="I2013" s="70" t="s">
        <v>305</v>
      </c>
    </row>
    <row r="2014" spans="2:9" ht="12.75">
      <c r="B2014" s="69" t="s">
        <v>97</v>
      </c>
      <c r="C2014" s="71">
        <f>(5/4)^1.81*E2014</f>
        <v>48.1940210830794</v>
      </c>
      <c r="D2014" s="70">
        <v>49.17</v>
      </c>
      <c r="E2014" s="70">
        <v>32.18</v>
      </c>
      <c r="F2014" s="72">
        <f>-((D2014-C2014)/D2014)</f>
        <v>-0.01984907294937163</v>
      </c>
      <c r="G2014" s="71">
        <f>C2014-D2014</f>
        <v>-0.975978916920603</v>
      </c>
      <c r="H2014" s="70">
        <v>710</v>
      </c>
      <c r="I2014" s="70" t="s">
        <v>305</v>
      </c>
    </row>
    <row r="2015" spans="2:9" ht="12.75">
      <c r="B2015" s="69" t="s">
        <v>98</v>
      </c>
      <c r="C2015" s="71">
        <f>(5/4)^1.81*E2015</f>
        <v>41.080236118982846</v>
      </c>
      <c r="D2015" s="70">
        <v>41.43</v>
      </c>
      <c r="E2015" s="70">
        <v>27.43</v>
      </c>
      <c r="F2015" s="72">
        <f>-((D2015-C2015)/D2015)</f>
        <v>-0.00844228532505802</v>
      </c>
      <c r="G2015" s="71">
        <f>C2015-D2015</f>
        <v>-0.3497638810171537</v>
      </c>
      <c r="H2015" s="70">
        <v>710</v>
      </c>
      <c r="I2015" s="70" t="s">
        <v>305</v>
      </c>
    </row>
    <row r="2016" spans="2:9" ht="12.75">
      <c r="B2016" s="69" t="s">
        <v>101</v>
      </c>
      <c r="C2016" s="71">
        <f>(5/4)^1.81*E2016</f>
        <v>56.11653107467325</v>
      </c>
      <c r="D2016" s="70">
        <v>54.42</v>
      </c>
      <c r="E2016" s="70">
        <v>37.47</v>
      </c>
      <c r="F2016" s="72">
        <f>-((D2016-C2016)/D2016)</f>
        <v>0.031174771677200397</v>
      </c>
      <c r="G2016" s="71">
        <f>C2016-D2016</f>
        <v>1.6965310746732456</v>
      </c>
      <c r="H2016" s="70">
        <v>710</v>
      </c>
      <c r="I2016" s="70" t="s">
        <v>305</v>
      </c>
    </row>
    <row r="2017" spans="1:9" ht="12.75">
      <c r="A2017" s="5"/>
      <c r="B2017" s="83"/>
      <c r="C2017" s="85"/>
      <c r="D2017" s="84"/>
      <c r="E2017" s="70" t="s">
        <v>14</v>
      </c>
      <c r="F2017" s="72">
        <f>AVERAGE(F2009:F2016)</f>
        <v>0.002047958112319922</v>
      </c>
      <c r="G2017" s="71">
        <f>AVERAGE(G2009:G2016)</f>
        <v>0.18323739408744188</v>
      </c>
      <c r="H2017" s="84"/>
      <c r="I2017" s="84"/>
    </row>
    <row r="2018" spans="1:9" ht="12.75">
      <c r="A2018" s="5"/>
      <c r="B2018" s="83"/>
      <c r="C2018" s="85"/>
      <c r="D2018" s="84"/>
      <c r="E2018" s="70"/>
      <c r="F2018" s="72"/>
      <c r="G2018" s="71"/>
      <c r="H2018" s="84"/>
      <c r="I2018" s="84"/>
    </row>
    <row r="2019" spans="1:9" ht="12.75">
      <c r="A2019" s="73" t="s">
        <v>0</v>
      </c>
      <c r="B2019" s="73" t="s">
        <v>1</v>
      </c>
      <c r="C2019" s="74" t="s">
        <v>219</v>
      </c>
      <c r="D2019" s="74" t="s">
        <v>73</v>
      </c>
      <c r="E2019" s="74" t="s">
        <v>3</v>
      </c>
      <c r="F2019" s="74" t="s">
        <v>5</v>
      </c>
      <c r="G2019" s="74" t="s">
        <v>6</v>
      </c>
      <c r="H2019" s="74" t="s">
        <v>7</v>
      </c>
      <c r="I2019" s="5" t="s">
        <v>8</v>
      </c>
    </row>
    <row r="2020" spans="1:9" ht="12.75">
      <c r="A2020" s="73" t="s">
        <v>307</v>
      </c>
      <c r="B2020" s="73" t="s">
        <v>96</v>
      </c>
      <c r="C2020" s="75">
        <f>(5/4)^2*E2020</f>
        <v>48.59375</v>
      </c>
      <c r="D2020" s="74">
        <v>46.49</v>
      </c>
      <c r="E2020" s="74">
        <v>31.1</v>
      </c>
      <c r="F2020" s="76">
        <f>-((D2020-C2020)/D2020)</f>
        <v>0.045251667025166656</v>
      </c>
      <c r="G2020" s="75">
        <f>C2020-D2020</f>
        <v>2.103749999999998</v>
      </c>
      <c r="H2020" s="74">
        <v>710</v>
      </c>
      <c r="I2020" s="74" t="s">
        <v>305</v>
      </c>
    </row>
    <row r="2021" spans="1:9" ht="12.75">
      <c r="A2021" s="5"/>
      <c r="B2021" s="73" t="s">
        <v>148</v>
      </c>
      <c r="C2021" s="75">
        <f>(5/4)^2*E2021</f>
        <v>57.03125</v>
      </c>
      <c r="D2021" s="74">
        <v>55.43</v>
      </c>
      <c r="E2021" s="74">
        <v>36.5</v>
      </c>
      <c r="F2021" s="76">
        <f>-((D2021-C2021)/D2021)</f>
        <v>0.02888778639725781</v>
      </c>
      <c r="G2021" s="75">
        <f>C2021-D2021</f>
        <v>1.6012500000000003</v>
      </c>
      <c r="H2021" s="74">
        <v>710</v>
      </c>
      <c r="I2021" s="74" t="s">
        <v>305</v>
      </c>
    </row>
    <row r="2022" spans="1:9" ht="12.75">
      <c r="A2022" s="5"/>
      <c r="B2022" s="73" t="s">
        <v>243</v>
      </c>
      <c r="C2022" s="75">
        <f>(5/4)^2*E2022</f>
        <v>69.578125</v>
      </c>
      <c r="D2022" s="74">
        <v>63.93</v>
      </c>
      <c r="E2022" s="74">
        <v>44.53</v>
      </c>
      <c r="F2022" s="76">
        <f>-((D2022-C2022)/D2022)</f>
        <v>0.08834858438917567</v>
      </c>
      <c r="G2022" s="75">
        <f>C2022-D2022</f>
        <v>5.648125</v>
      </c>
      <c r="H2022" s="74">
        <v>710</v>
      </c>
      <c r="I2022" s="74" t="s">
        <v>305</v>
      </c>
    </row>
    <row r="2023" spans="1:9" ht="12.75">
      <c r="A2023" s="5"/>
      <c r="B2023" s="73" t="s">
        <v>244</v>
      </c>
      <c r="C2023" s="75">
        <f>(5/4)^2*E2023</f>
        <v>59.875</v>
      </c>
      <c r="D2023" s="74">
        <v>57.78</v>
      </c>
      <c r="E2023" s="74">
        <v>38.32</v>
      </c>
      <c r="F2023" s="76">
        <f>-((D2023-C2023)/D2023)</f>
        <v>0.03625822083766007</v>
      </c>
      <c r="G2023" s="75">
        <f>C2023-D2023</f>
        <v>2.094999999999999</v>
      </c>
      <c r="H2023" s="74">
        <v>710</v>
      </c>
      <c r="I2023" s="74" t="s">
        <v>305</v>
      </c>
    </row>
    <row r="2024" spans="1:9" ht="12.75">
      <c r="A2024" s="5"/>
      <c r="B2024" s="73" t="s">
        <v>122</v>
      </c>
      <c r="C2024" s="75">
        <f>(5/4)^2*E2024</f>
        <v>56.03125</v>
      </c>
      <c r="D2024" s="74">
        <v>54.3</v>
      </c>
      <c r="E2024" s="74">
        <v>35.86</v>
      </c>
      <c r="F2024" s="76">
        <f>-((D2024-C2024)/D2024)</f>
        <v>0.03188305709023947</v>
      </c>
      <c r="G2024" s="75">
        <f>C2024-D2024</f>
        <v>1.7312500000000028</v>
      </c>
      <c r="H2024" s="74">
        <v>710</v>
      </c>
      <c r="I2024" s="74" t="s">
        <v>305</v>
      </c>
    </row>
    <row r="2025" spans="1:9" ht="12.75">
      <c r="A2025" s="5"/>
      <c r="B2025" s="73" t="s">
        <v>97</v>
      </c>
      <c r="C2025" s="75">
        <f>(5/4)^2*E2025</f>
        <v>50.28125</v>
      </c>
      <c r="D2025" s="74">
        <v>49.17</v>
      </c>
      <c r="E2025" s="74">
        <v>32.18</v>
      </c>
      <c r="F2025" s="76">
        <f>-((D2025-C2025)/D2025)</f>
        <v>0.022600162700833808</v>
      </c>
      <c r="G2025" s="75">
        <f>C2025-D2025</f>
        <v>1.1112499999999983</v>
      </c>
      <c r="H2025" s="74">
        <v>710</v>
      </c>
      <c r="I2025" s="74" t="s">
        <v>305</v>
      </c>
    </row>
    <row r="2026" spans="1:9" ht="12.75">
      <c r="A2026" s="5"/>
      <c r="B2026" s="73" t="s">
        <v>98</v>
      </c>
      <c r="C2026" s="75">
        <f>(5/4)^2*E2026</f>
        <v>42.859375</v>
      </c>
      <c r="D2026" s="74">
        <v>41.43</v>
      </c>
      <c r="E2026" s="74">
        <v>27.43</v>
      </c>
      <c r="F2026" s="76">
        <f>-((D2026-C2026)/D2026)</f>
        <v>0.034500965483948834</v>
      </c>
      <c r="G2026" s="75">
        <f>C2026-D2026</f>
        <v>1.4293750000000003</v>
      </c>
      <c r="H2026" s="74">
        <v>710</v>
      </c>
      <c r="I2026" s="74" t="s">
        <v>305</v>
      </c>
    </row>
    <row r="2027" spans="1:9" ht="12.75">
      <c r="A2027" s="5"/>
      <c r="B2027" s="73" t="s">
        <v>101</v>
      </c>
      <c r="C2027" s="75">
        <f>(5/4)^2*E2027</f>
        <v>58.546875</v>
      </c>
      <c r="D2027" s="74">
        <v>54.42</v>
      </c>
      <c r="E2027" s="74">
        <v>37.47</v>
      </c>
      <c r="F2027" s="76">
        <f>-((D2027-C2027)/D2027)</f>
        <v>0.07583379272326347</v>
      </c>
      <c r="G2027" s="75">
        <f>C2027-D2027</f>
        <v>4.126874999999998</v>
      </c>
      <c r="H2027" s="74">
        <v>710</v>
      </c>
      <c r="I2027" s="74" t="s">
        <v>305</v>
      </c>
    </row>
    <row r="2028" spans="1:9" ht="12.75">
      <c r="A2028" s="5"/>
      <c r="B2028" s="83"/>
      <c r="C2028" s="85"/>
      <c r="D2028" s="84"/>
      <c r="E2028" s="74" t="s">
        <v>14</v>
      </c>
      <c r="F2028" s="76">
        <f>AVERAGE(F2020:F2027)</f>
        <v>0.04544552958094322</v>
      </c>
      <c r="G2028" s="75">
        <f>AVERAGE(G2020:G2027)</f>
        <v>2.4808593749999996</v>
      </c>
      <c r="H2028" s="84"/>
      <c r="I2028" s="84"/>
    </row>
    <row r="2029" spans="2:9" ht="12.75">
      <c r="B2029" s="79"/>
      <c r="C2029" s="81"/>
      <c r="D2029" s="80"/>
      <c r="E2029" s="80"/>
      <c r="F2029" s="82"/>
      <c r="G2029" s="81"/>
      <c r="H2029" s="80"/>
      <c r="I2029" s="70"/>
    </row>
    <row r="2030" spans="1:9" ht="12.75">
      <c r="A2030" s="20" t="s">
        <v>0</v>
      </c>
      <c r="B2030" s="20" t="s">
        <v>1</v>
      </c>
      <c r="C2030" s="16" t="s">
        <v>113</v>
      </c>
      <c r="D2030" s="16" t="s">
        <v>73</v>
      </c>
      <c r="E2030" s="16" t="s">
        <v>3</v>
      </c>
      <c r="F2030" s="16" t="s">
        <v>5</v>
      </c>
      <c r="G2030" s="16" t="s">
        <v>6</v>
      </c>
      <c r="H2030" s="16" t="s">
        <v>7</v>
      </c>
      <c r="I2030" s="16" t="s">
        <v>8</v>
      </c>
    </row>
    <row r="2031" spans="1:9" ht="12.75">
      <c r="A2031" s="20" t="s">
        <v>309</v>
      </c>
      <c r="B2031" s="20" t="s">
        <v>299</v>
      </c>
      <c r="C2031" s="21">
        <f>(4/3)^1.56*E2031</f>
        <v>61.54410465187682</v>
      </c>
      <c r="D2031" s="16">
        <v>59.12</v>
      </c>
      <c r="E2031" s="16">
        <v>39.29</v>
      </c>
      <c r="F2031" s="22">
        <f>-((D2031-C2031)/D2031)</f>
        <v>0.04100312334027105</v>
      </c>
      <c r="G2031" s="21">
        <f>C2031-D2031</f>
        <v>2.4241046518768243</v>
      </c>
      <c r="H2031" s="16">
        <v>980</v>
      </c>
      <c r="I2031" s="16" t="s">
        <v>310</v>
      </c>
    </row>
    <row r="2032" spans="2:9" ht="12.75">
      <c r="B2032" s="20" t="s">
        <v>301</v>
      </c>
      <c r="C2032" s="21">
        <f>(4/3)^1.56*E2032</f>
        <v>59.084846715927554</v>
      </c>
      <c r="D2032" s="16">
        <v>57.51</v>
      </c>
      <c r="E2032" s="16">
        <v>37.72</v>
      </c>
      <c r="F2032" s="22">
        <f>-((D2032-C2032)/D2032)</f>
        <v>0.02738387612463148</v>
      </c>
      <c r="G2032" s="21">
        <f>C2032-D2032</f>
        <v>1.5748467159275563</v>
      </c>
      <c r="H2032" s="16">
        <v>980</v>
      </c>
      <c r="I2032" s="16" t="s">
        <v>310</v>
      </c>
    </row>
    <row r="2033" spans="2:9" ht="12.75">
      <c r="B2033" s="20" t="s">
        <v>91</v>
      </c>
      <c r="C2033" s="21">
        <f>(4/3)^1.56*E2033</f>
        <v>56.014690311812544</v>
      </c>
      <c r="D2033" s="16">
        <v>53.69</v>
      </c>
      <c r="E2033" s="16">
        <v>35.76</v>
      </c>
      <c r="F2033" s="22">
        <f>-((D2033-C2033)/D2033)</f>
        <v>0.04329838539416178</v>
      </c>
      <c r="G2033" s="21">
        <f>C2033-D2033</f>
        <v>2.324690311812546</v>
      </c>
      <c r="H2033" s="16">
        <v>980</v>
      </c>
      <c r="I2033" s="16" t="s">
        <v>310</v>
      </c>
    </row>
    <row r="2034" spans="2:9" ht="12.75">
      <c r="B2034" s="20" t="s">
        <v>92</v>
      </c>
      <c r="C2034" s="21">
        <f>(4/3)^1.56*E2034</f>
        <v>46.91386954247164</v>
      </c>
      <c r="D2034" s="16">
        <v>45.6</v>
      </c>
      <c r="E2034" s="16">
        <v>29.95</v>
      </c>
      <c r="F2034" s="22">
        <f>-((D2034-C2034)/D2034)</f>
        <v>0.028812928562974474</v>
      </c>
      <c r="G2034" s="21">
        <f>C2034-D2034</f>
        <v>1.313869542471636</v>
      </c>
      <c r="H2034" s="16">
        <v>980</v>
      </c>
      <c r="I2034" s="16" t="s">
        <v>310</v>
      </c>
    </row>
    <row r="2035" spans="2:9" ht="12.75">
      <c r="B2035" s="20" t="s">
        <v>96</v>
      </c>
      <c r="C2035" s="21">
        <f>(4/3)^1.56*E2035</f>
        <v>49.65508061757432</v>
      </c>
      <c r="D2035" s="16">
        <v>50.3</v>
      </c>
      <c r="E2035" s="16">
        <v>31.7</v>
      </c>
      <c r="F2035" s="22">
        <f>-((D2035-C2035)/D2035)</f>
        <v>-0.012821458895142678</v>
      </c>
      <c r="G2035" s="21">
        <f>C2035-D2035</f>
        <v>-0.6449193824256767</v>
      </c>
      <c r="H2035" s="16">
        <v>980</v>
      </c>
      <c r="I2035" s="16" t="s">
        <v>310</v>
      </c>
    </row>
    <row r="2036" spans="2:9" ht="12.75">
      <c r="B2036" s="20" t="s">
        <v>148</v>
      </c>
      <c r="C2036" s="21">
        <f>(4/3)^1.56*E2036</f>
        <v>56.218323134534465</v>
      </c>
      <c r="D2036" s="16">
        <v>56.94</v>
      </c>
      <c r="E2036" s="16">
        <v>35.89</v>
      </c>
      <c r="F2036" s="22">
        <f>-((D2036-C2036)/D2036)</f>
        <v>-0.012674339049271736</v>
      </c>
      <c r="G2036" s="21">
        <f>C2036-D2036</f>
        <v>-0.7216768654655326</v>
      </c>
      <c r="H2036" s="16">
        <v>980</v>
      </c>
      <c r="I2036" s="16" t="s">
        <v>310</v>
      </c>
    </row>
    <row r="2037" spans="2:9" ht="12.75">
      <c r="B2037" s="20" t="s">
        <v>244</v>
      </c>
      <c r="C2037" s="21">
        <f>(4/3)^1.56*E2037</f>
        <v>58.47394824776181</v>
      </c>
      <c r="D2037" s="16">
        <v>60.6</v>
      </c>
      <c r="E2037" s="16">
        <v>37.33</v>
      </c>
      <c r="F2037" s="22">
        <f>-((D2037-C2037)/D2037)</f>
        <v>-0.035083362248154955</v>
      </c>
      <c r="G2037" s="21">
        <f>C2037-D2037</f>
        <v>-2.1260517522381903</v>
      </c>
      <c r="H2037" s="16">
        <v>980</v>
      </c>
      <c r="I2037" s="16" t="s">
        <v>310</v>
      </c>
    </row>
    <row r="2038" spans="2:9" ht="12.75">
      <c r="B2038" s="20" t="s">
        <v>122</v>
      </c>
      <c r="C2038" s="21">
        <f>(4/3)^1.56*E2038</f>
        <v>55.35679965378791</v>
      </c>
      <c r="D2038" s="16">
        <v>56.81</v>
      </c>
      <c r="E2038" s="16">
        <v>35.34</v>
      </c>
      <c r="F2038" s="22">
        <f>-((D2038-C2038)/D2038)</f>
        <v>-0.025580009614717347</v>
      </c>
      <c r="G2038" s="21">
        <f>C2038-D2038</f>
        <v>-1.4532003462120926</v>
      </c>
      <c r="H2038" s="16">
        <v>980</v>
      </c>
      <c r="I2038" s="16" t="s">
        <v>310</v>
      </c>
    </row>
    <row r="2039" spans="2:9" ht="12.75">
      <c r="B2039" s="20" t="s">
        <v>97</v>
      </c>
      <c r="C2039" s="21">
        <f>(4/3)^1.56*E2039</f>
        <v>51.70707290807976</v>
      </c>
      <c r="D2039" s="16">
        <v>52.4</v>
      </c>
      <c r="E2039" s="16">
        <v>33.01</v>
      </c>
      <c r="F2039" s="22">
        <f>-((D2039-C2039)/D2039)</f>
        <v>-0.013223799464126709</v>
      </c>
      <c r="G2039" s="21">
        <f>C2039-D2039</f>
        <v>-0.6929270919202395</v>
      </c>
      <c r="H2039" s="16">
        <v>980</v>
      </c>
      <c r="I2039" s="16" t="s">
        <v>310</v>
      </c>
    </row>
    <row r="2040" spans="2:9" ht="12.75">
      <c r="B2040" s="20" t="s">
        <v>98</v>
      </c>
      <c r="C2040" s="21">
        <f>(4/3)^1.56*E2040</f>
        <v>44.517267859667584</v>
      </c>
      <c r="D2040" s="16">
        <v>45.51</v>
      </c>
      <c r="E2040" s="16">
        <v>28.42</v>
      </c>
      <c r="F2040" s="22">
        <f>-((D2040-C2040)/D2040)</f>
        <v>-0.02181349462387199</v>
      </c>
      <c r="G2040" s="21">
        <f>C2040-D2040</f>
        <v>-0.9927321403324143</v>
      </c>
      <c r="H2040" s="16">
        <v>980</v>
      </c>
      <c r="I2040" s="16" t="s">
        <v>310</v>
      </c>
    </row>
    <row r="2041" spans="2:9" ht="12.75">
      <c r="B2041" s="20" t="s">
        <v>101</v>
      </c>
      <c r="C2041" s="21">
        <f>(4/3)^1.56*E2041</f>
        <v>59.64875299423439</v>
      </c>
      <c r="D2041" s="16">
        <v>57.53</v>
      </c>
      <c r="E2041" s="16">
        <v>38.08</v>
      </c>
      <c r="F2041" s="22">
        <f>-((D2041-C2041)/D2041)</f>
        <v>0.036828663205882</v>
      </c>
      <c r="G2041" s="21">
        <f>C2041-D2041</f>
        <v>2.1187529942343915</v>
      </c>
      <c r="H2041" s="16">
        <v>980</v>
      </c>
      <c r="I2041" s="16" t="s">
        <v>310</v>
      </c>
    </row>
    <row r="2042" spans="2:9" ht="12.75">
      <c r="B2042" s="20" t="s">
        <v>103</v>
      </c>
      <c r="C2042" s="21">
        <f>(4/3)^1.56*E2042</f>
        <v>41.41578332897998</v>
      </c>
      <c r="D2042" s="16">
        <v>42.6</v>
      </c>
      <c r="E2042" s="16">
        <v>26.44</v>
      </c>
      <c r="F2042" s="22">
        <f>-((D2042-C2042)/D2042)</f>
        <v>-0.027798513404225927</v>
      </c>
      <c r="G2042" s="21">
        <f>C2042-D2042</f>
        <v>-1.1842166710200246</v>
      </c>
      <c r="H2042" s="16">
        <v>980</v>
      </c>
      <c r="I2042" s="16" t="s">
        <v>310</v>
      </c>
    </row>
    <row r="2043" spans="2:9" ht="12.75">
      <c r="B2043" s="79"/>
      <c r="C2043" s="81"/>
      <c r="D2043" s="80"/>
      <c r="E2043" s="16" t="s">
        <v>14</v>
      </c>
      <c r="F2043" s="22">
        <f>AVERAGE(F2031:F2042)</f>
        <v>0.0023609999440341195</v>
      </c>
      <c r="G2043" s="21">
        <f>AVERAGE(G2031:G2042)</f>
        <v>0.16171166389239863</v>
      </c>
      <c r="H2043" s="80"/>
      <c r="I2043" s="70"/>
    </row>
    <row r="2044" spans="2:9" ht="12.75">
      <c r="B2044" s="79"/>
      <c r="C2044" s="81"/>
      <c r="D2044" s="80"/>
      <c r="E2044" s="16"/>
      <c r="F2044" s="22"/>
      <c r="G2044" s="21"/>
      <c r="H2044" s="80"/>
      <c r="I2044" s="70"/>
    </row>
    <row r="2045" spans="1:9" ht="12.75">
      <c r="A2045" s="23" t="s">
        <v>0</v>
      </c>
      <c r="B2045" s="23" t="s">
        <v>1</v>
      </c>
      <c r="C2045" s="18" t="s">
        <v>74</v>
      </c>
      <c r="D2045" s="18" t="s">
        <v>73</v>
      </c>
      <c r="E2045" s="18" t="s">
        <v>3</v>
      </c>
      <c r="F2045" s="18" t="s">
        <v>5</v>
      </c>
      <c r="G2045" s="18" t="s">
        <v>6</v>
      </c>
      <c r="H2045" s="18" t="s">
        <v>7</v>
      </c>
      <c r="I2045" s="18" t="s">
        <v>8</v>
      </c>
    </row>
    <row r="2046" spans="1:9" ht="12.75">
      <c r="A2046" s="23" t="s">
        <v>309</v>
      </c>
      <c r="B2046" s="23" t="s">
        <v>299</v>
      </c>
      <c r="C2046" s="24">
        <f>(4/3)^2*E2046</f>
        <v>69.84888888888888</v>
      </c>
      <c r="D2046" s="18">
        <v>59.12</v>
      </c>
      <c r="E2046" s="18">
        <v>39.29</v>
      </c>
      <c r="F2046" s="25">
        <f>-((D2046-C2046)/D2046)</f>
        <v>0.18147646970380382</v>
      </c>
      <c r="G2046" s="24">
        <f>C2046-D2046</f>
        <v>10.728888888888882</v>
      </c>
      <c r="H2046" s="18">
        <v>980</v>
      </c>
      <c r="I2046" s="18" t="s">
        <v>310</v>
      </c>
    </row>
    <row r="2047" spans="1:9" ht="12.75">
      <c r="A2047" s="5"/>
      <c r="B2047" s="23" t="s">
        <v>301</v>
      </c>
      <c r="C2047" s="24">
        <f>(4/3)^2*E2047</f>
        <v>67.05777777777777</v>
      </c>
      <c r="D2047" s="18">
        <v>57.51</v>
      </c>
      <c r="E2047" s="18">
        <v>37.72</v>
      </c>
      <c r="F2047" s="25">
        <f>-((D2047-C2047)/D2047)</f>
        <v>0.16601943623331203</v>
      </c>
      <c r="G2047" s="24">
        <f>C2047-D2047</f>
        <v>9.547777777777775</v>
      </c>
      <c r="H2047" s="18">
        <v>980</v>
      </c>
      <c r="I2047" s="18" t="s">
        <v>310</v>
      </c>
    </row>
    <row r="2048" spans="1:9" ht="12.75">
      <c r="A2048" s="5"/>
      <c r="B2048" s="23" t="s">
        <v>91</v>
      </c>
      <c r="C2048" s="24">
        <f>(4/3)^2*E2048</f>
        <v>63.57333333333332</v>
      </c>
      <c r="D2048" s="18">
        <v>53.69</v>
      </c>
      <c r="E2048" s="18">
        <v>35.76</v>
      </c>
      <c r="F2048" s="25">
        <f>-((D2048-C2048)/D2048)</f>
        <v>0.18408145526789582</v>
      </c>
      <c r="G2048" s="24">
        <f>C2048-D2048</f>
        <v>9.883333333333326</v>
      </c>
      <c r="H2048" s="18">
        <v>980</v>
      </c>
      <c r="I2048" s="18" t="s">
        <v>310</v>
      </c>
    </row>
    <row r="2049" spans="1:9" ht="12.75">
      <c r="A2049" s="5"/>
      <c r="B2049" s="23" t="s">
        <v>92</v>
      </c>
      <c r="C2049" s="24">
        <f>(4/3)^2*E2049</f>
        <v>53.24444444444444</v>
      </c>
      <c r="D2049" s="18">
        <v>45.6</v>
      </c>
      <c r="E2049" s="18">
        <v>29.95</v>
      </c>
      <c r="F2049" s="25">
        <f>-((D2049-C2049)/D2049)</f>
        <v>0.16764132553606226</v>
      </c>
      <c r="G2049" s="24">
        <f>C2049-D2049</f>
        <v>7.644444444444439</v>
      </c>
      <c r="H2049" s="18">
        <v>980</v>
      </c>
      <c r="I2049" s="18" t="s">
        <v>310</v>
      </c>
    </row>
    <row r="2050" spans="1:9" ht="12.75">
      <c r="A2050" s="5"/>
      <c r="B2050" s="23" t="s">
        <v>96</v>
      </c>
      <c r="C2050" s="24">
        <f>(4/3)^2*E2050</f>
        <v>56.355555555555554</v>
      </c>
      <c r="D2050" s="18">
        <v>50.3</v>
      </c>
      <c r="E2050" s="18">
        <v>31.7</v>
      </c>
      <c r="F2050" s="25">
        <f>-((D2050-C2050)/D2050)</f>
        <v>0.12038877844046834</v>
      </c>
      <c r="G2050" s="24">
        <f>C2050-D2050</f>
        <v>6.055555555555557</v>
      </c>
      <c r="H2050" s="18">
        <v>980</v>
      </c>
      <c r="I2050" s="18" t="s">
        <v>310</v>
      </c>
    </row>
    <row r="2051" spans="1:9" ht="12.75">
      <c r="A2051" s="5"/>
      <c r="B2051" s="23" t="s">
        <v>148</v>
      </c>
      <c r="C2051" s="24">
        <f>(4/3)^2*E2051</f>
        <v>63.80444444444444</v>
      </c>
      <c r="D2051" s="18">
        <v>56.94</v>
      </c>
      <c r="E2051" s="18">
        <v>35.89</v>
      </c>
      <c r="F2051" s="25">
        <f>-((D2051-C2051)/D2051)</f>
        <v>0.120555750692737</v>
      </c>
      <c r="G2051" s="24">
        <f>C2051-D2051</f>
        <v>6.864444444444445</v>
      </c>
      <c r="H2051" s="18">
        <v>980</v>
      </c>
      <c r="I2051" s="18" t="s">
        <v>310</v>
      </c>
    </row>
    <row r="2052" spans="1:9" ht="12.75">
      <c r="A2052" s="5"/>
      <c r="B2052" s="23" t="s">
        <v>244</v>
      </c>
      <c r="C2052" s="24">
        <f>(4/3)^2*E2052</f>
        <v>66.36444444444444</v>
      </c>
      <c r="D2052" s="18">
        <v>60.6</v>
      </c>
      <c r="E2052" s="18">
        <v>37.33</v>
      </c>
      <c r="F2052" s="25">
        <f>-((D2052-C2052)/D2052)</f>
        <v>0.0951228456178951</v>
      </c>
      <c r="G2052" s="24">
        <f>C2052-D2052</f>
        <v>5.764444444444443</v>
      </c>
      <c r="H2052" s="18">
        <v>980</v>
      </c>
      <c r="I2052" s="18" t="s">
        <v>310</v>
      </c>
    </row>
    <row r="2053" spans="1:9" ht="12.75">
      <c r="A2053" s="5"/>
      <c r="B2053" s="23" t="s">
        <v>122</v>
      </c>
      <c r="C2053" s="24">
        <f>(4/3)^2*E2053</f>
        <v>62.82666666666667</v>
      </c>
      <c r="D2053" s="18">
        <v>56.81</v>
      </c>
      <c r="E2053" s="18">
        <v>35.34</v>
      </c>
      <c r="F2053" s="25">
        <f>-((D2053-C2053)/D2053)</f>
        <v>0.10590858416945372</v>
      </c>
      <c r="G2053" s="24">
        <f>C2053-D2053</f>
        <v>6.016666666666666</v>
      </c>
      <c r="H2053" s="18">
        <v>980</v>
      </c>
      <c r="I2053" s="18" t="s">
        <v>310</v>
      </c>
    </row>
    <row r="2054" spans="1:9" ht="12.75">
      <c r="A2054" s="5"/>
      <c r="B2054" s="23" t="s">
        <v>97</v>
      </c>
      <c r="C2054" s="24">
        <f>(4/3)^2*E2054</f>
        <v>58.68444444444444</v>
      </c>
      <c r="D2054" s="18">
        <v>52.4</v>
      </c>
      <c r="E2054" s="18">
        <v>33.01</v>
      </c>
      <c r="F2054" s="25">
        <f>-((D2054-C2054)/D2054)</f>
        <v>0.11993214588634427</v>
      </c>
      <c r="G2054" s="24">
        <f>C2054-D2054</f>
        <v>6.284444444444439</v>
      </c>
      <c r="H2054" s="18">
        <v>980</v>
      </c>
      <c r="I2054" s="18" t="s">
        <v>310</v>
      </c>
    </row>
    <row r="2055" spans="1:9" ht="12.75">
      <c r="A2055" s="5"/>
      <c r="B2055" s="23" t="s">
        <v>98</v>
      </c>
      <c r="C2055" s="24">
        <f>(4/3)^2*E2055</f>
        <v>50.52444444444444</v>
      </c>
      <c r="D2055" s="18">
        <v>45.51</v>
      </c>
      <c r="E2055" s="18">
        <v>28.42</v>
      </c>
      <c r="F2055" s="25">
        <f>-((D2055-C2055)/D2055)</f>
        <v>0.11018335408579309</v>
      </c>
      <c r="G2055" s="24">
        <f>C2055-D2055</f>
        <v>5.014444444444443</v>
      </c>
      <c r="H2055" s="18">
        <v>980</v>
      </c>
      <c r="I2055" s="18" t="s">
        <v>310</v>
      </c>
    </row>
    <row r="2056" spans="1:9" ht="12.75">
      <c r="A2056" s="5"/>
      <c r="B2056" s="23" t="s">
        <v>101</v>
      </c>
      <c r="C2056" s="24">
        <f>(4/3)^2*E2056</f>
        <v>67.69777777777777</v>
      </c>
      <c r="D2056" s="18">
        <v>57.53</v>
      </c>
      <c r="E2056" s="18">
        <v>38.08</v>
      </c>
      <c r="F2056" s="25">
        <f>-((D2056-C2056)/D2056)</f>
        <v>0.17673870637541755</v>
      </c>
      <c r="G2056" s="24">
        <f>C2056-D2056</f>
        <v>10.167777777777772</v>
      </c>
      <c r="H2056" s="18">
        <v>980</v>
      </c>
      <c r="I2056" s="18" t="s">
        <v>310</v>
      </c>
    </row>
    <row r="2057" spans="1:9" ht="12.75">
      <c r="A2057" s="5"/>
      <c r="B2057" s="23" t="s">
        <v>103</v>
      </c>
      <c r="C2057" s="24">
        <f>(4/3)^2*E2057</f>
        <v>47.004444444444445</v>
      </c>
      <c r="D2057" s="18">
        <v>42.6</v>
      </c>
      <c r="E2057" s="18">
        <v>26.44</v>
      </c>
      <c r="F2057" s="25">
        <f>-((D2057-C2057)/D2057)</f>
        <v>0.10339071465832027</v>
      </c>
      <c r="G2057" s="24">
        <f>C2057-D2057</f>
        <v>4.404444444444444</v>
      </c>
      <c r="H2057" s="18">
        <v>980</v>
      </c>
      <c r="I2057" s="18" t="s">
        <v>310</v>
      </c>
    </row>
    <row r="2058" spans="1:9" ht="12.75">
      <c r="A2058" s="5"/>
      <c r="B2058" s="83"/>
      <c r="C2058" s="85"/>
      <c r="D2058" s="84"/>
      <c r="E2058" s="18" t="s">
        <v>14</v>
      </c>
      <c r="F2058" s="25">
        <f>AVERAGE(F2046:F2057)</f>
        <v>0.13761996388895859</v>
      </c>
      <c r="G2058" s="24">
        <f>AVERAGE(G2046:G2057)</f>
        <v>7.36472222222222</v>
      </c>
      <c r="H2058" s="84"/>
      <c r="I2058" s="74"/>
    </row>
    <row r="2059" spans="2:8" ht="12.75">
      <c r="B2059" s="69"/>
      <c r="C2059" s="69"/>
      <c r="D2059" s="70"/>
      <c r="E2059" s="70"/>
      <c r="F2059" s="70"/>
      <c r="G2059" s="70"/>
      <c r="H2059" s="70"/>
    </row>
    <row r="2060" spans="1:9" ht="12.75">
      <c r="A2060" s="69" t="s">
        <v>0</v>
      </c>
      <c r="B2060" s="69" t="s">
        <v>1</v>
      </c>
      <c r="C2060" s="70" t="s">
        <v>256</v>
      </c>
      <c r="D2060" s="70" t="s">
        <v>218</v>
      </c>
      <c r="E2060" s="70" t="s">
        <v>73</v>
      </c>
      <c r="F2060" s="70" t="s">
        <v>5</v>
      </c>
      <c r="G2060" s="70" t="s">
        <v>6</v>
      </c>
      <c r="H2060" s="70" t="s">
        <v>7</v>
      </c>
      <c r="I2060" s="70" t="s">
        <v>8</v>
      </c>
    </row>
    <row r="2061" spans="1:9" ht="12.75">
      <c r="A2061" s="69" t="s">
        <v>309</v>
      </c>
      <c r="B2061" s="69" t="s">
        <v>92</v>
      </c>
      <c r="C2061" s="71">
        <f>(5/4)^1.58*E2061</f>
        <v>64.87579057875124</v>
      </c>
      <c r="D2061" s="70">
        <v>62.72</v>
      </c>
      <c r="E2061" s="70">
        <v>45.6</v>
      </c>
      <c r="F2061" s="72">
        <f>-((D2061-C2061)/D2061)</f>
        <v>0.03437166101325314</v>
      </c>
      <c r="G2061" s="71">
        <f>C2061-D2061</f>
        <v>2.155790578751237</v>
      </c>
      <c r="H2061" s="70">
        <v>980</v>
      </c>
      <c r="I2061" s="70" t="s">
        <v>310</v>
      </c>
    </row>
    <row r="2062" spans="2:9" ht="12.75">
      <c r="B2062" s="69" t="s">
        <v>93</v>
      </c>
      <c r="C2062" s="71">
        <f>(5/4)^1.58*E2062</f>
        <v>46.63658805200583</v>
      </c>
      <c r="D2062" s="70">
        <v>45.67</v>
      </c>
      <c r="E2062" s="70">
        <v>32.78</v>
      </c>
      <c r="F2062" s="72">
        <f>-((D2062-C2062)/D2062)</f>
        <v>0.021164616860210754</v>
      </c>
      <c r="G2062" s="71">
        <f>C2062-D2062</f>
        <v>0.9665880520058252</v>
      </c>
      <c r="H2062" s="70">
        <v>980</v>
      </c>
      <c r="I2062" s="70" t="s">
        <v>310</v>
      </c>
    </row>
    <row r="2063" spans="2:9" ht="12.75">
      <c r="B2063" s="69" t="s">
        <v>44</v>
      </c>
      <c r="C2063" s="71">
        <f>(5/4)^1.58*E2063</f>
        <v>51.63031666892286</v>
      </c>
      <c r="D2063" s="70">
        <v>49.94</v>
      </c>
      <c r="E2063" s="70">
        <v>36.29</v>
      </c>
      <c r="F2063" s="72">
        <f>-((D2063-C2063)/D2063)</f>
        <v>0.03384694971811897</v>
      </c>
      <c r="G2063" s="71">
        <f>C2063-D2063</f>
        <v>1.6903166689228613</v>
      </c>
      <c r="H2063" s="70">
        <v>980</v>
      </c>
      <c r="I2063" s="70" t="s">
        <v>310</v>
      </c>
    </row>
    <row r="2064" spans="2:9" ht="12.75">
      <c r="B2064" s="69" t="s">
        <v>46</v>
      </c>
      <c r="C2064" s="71">
        <f>(5/4)^1.58*E2064</f>
        <v>33.23461552455326</v>
      </c>
      <c r="D2064" s="70">
        <v>32.97</v>
      </c>
      <c r="E2064" s="70">
        <v>23.36</v>
      </c>
      <c r="F2064" s="72">
        <f>-((D2064-C2064)/D2064)</f>
        <v>0.008025948576077161</v>
      </c>
      <c r="G2064" s="71">
        <f>C2064-D2064</f>
        <v>0.264615524553264</v>
      </c>
      <c r="H2064" s="70">
        <v>980</v>
      </c>
      <c r="I2064" s="70" t="s">
        <v>310</v>
      </c>
    </row>
    <row r="2065" spans="2:9" ht="12.75">
      <c r="B2065" s="69" t="s">
        <v>103</v>
      </c>
      <c r="C2065" s="71">
        <f>(5/4)^1.58*E2065</f>
        <v>60.550737873501156</v>
      </c>
      <c r="D2065" s="70">
        <v>60.41</v>
      </c>
      <c r="E2065" s="70">
        <v>42.56</v>
      </c>
      <c r="F2065" s="72">
        <f>-((D2065-C2065)/D2065)</f>
        <v>0.002329711529567275</v>
      </c>
      <c r="G2065" s="71">
        <f>C2065-D2065</f>
        <v>0.14073787350115907</v>
      </c>
      <c r="H2065" s="70">
        <v>980</v>
      </c>
      <c r="I2065" s="70" t="s">
        <v>310</v>
      </c>
    </row>
    <row r="2066" spans="2:9" ht="12.75">
      <c r="B2066" s="69" t="s">
        <v>104</v>
      </c>
      <c r="C2066" s="71">
        <f>(5/4)^1.58*E2066</f>
        <v>51.60186237480937</v>
      </c>
      <c r="D2066" s="70">
        <v>52.65</v>
      </c>
      <c r="E2066" s="70">
        <v>36.27</v>
      </c>
      <c r="F2066" s="72">
        <f>-((D2066-C2066)/D2066)</f>
        <v>-0.019907647202101177</v>
      </c>
      <c r="G2066" s="71">
        <f>C2066-D2066</f>
        <v>-1.048137625190627</v>
      </c>
      <c r="H2066" s="70">
        <v>980</v>
      </c>
      <c r="I2066" s="70" t="s">
        <v>310</v>
      </c>
    </row>
    <row r="2067" spans="2:9" ht="12.75">
      <c r="B2067" s="69" t="s">
        <v>105</v>
      </c>
      <c r="C2067" s="71">
        <f>(5/4)^1.58*E2067</f>
        <v>46.94958528725418</v>
      </c>
      <c r="D2067" s="70">
        <v>47.73</v>
      </c>
      <c r="E2067" s="70">
        <v>33</v>
      </c>
      <c r="F2067" s="72">
        <f>-((D2067-C2067)/D2067)</f>
        <v>-0.01635061204160521</v>
      </c>
      <c r="G2067" s="71">
        <f>C2067-D2067</f>
        <v>-0.7804147127458165</v>
      </c>
      <c r="H2067" s="70">
        <v>980</v>
      </c>
      <c r="I2067" s="70" t="s">
        <v>310</v>
      </c>
    </row>
    <row r="2068" spans="2:9" ht="12.75">
      <c r="B2068" s="69" t="s">
        <v>83</v>
      </c>
      <c r="C2068" s="71">
        <f>(5/4)^1.58*E2068</f>
        <v>59.42679325601841</v>
      </c>
      <c r="D2068" s="70">
        <v>59.68</v>
      </c>
      <c r="E2068" s="70">
        <v>41.77</v>
      </c>
      <c r="F2068" s="72">
        <f>-((D2068-C2068)/D2068)</f>
        <v>-0.0042427403482170455</v>
      </c>
      <c r="G2068" s="71">
        <f>C2068-D2068</f>
        <v>-0.25320674398159326</v>
      </c>
      <c r="H2068" s="70">
        <v>980</v>
      </c>
      <c r="I2068" s="70" t="s">
        <v>310</v>
      </c>
    </row>
    <row r="2069" spans="2:9" ht="12.75">
      <c r="B2069" s="69" t="s">
        <v>84</v>
      </c>
      <c r="C2069" s="71">
        <f>(5/4)^1.58*E2069</f>
        <v>38.6836128472861</v>
      </c>
      <c r="D2069" s="70">
        <v>40.33</v>
      </c>
      <c r="E2069" s="70">
        <v>27.19</v>
      </c>
      <c r="F2069" s="72">
        <f>-((D2069-C2069)/D2069)</f>
        <v>-0.0408228899755492</v>
      </c>
      <c r="G2069" s="71">
        <f>C2069-D2069</f>
        <v>-1.6463871527138991</v>
      </c>
      <c r="H2069" s="70">
        <v>980</v>
      </c>
      <c r="I2069" s="70" t="s">
        <v>310</v>
      </c>
    </row>
    <row r="2070" spans="5:9" ht="12.75">
      <c r="E2070" s="70" t="s">
        <v>14</v>
      </c>
      <c r="F2070" s="72">
        <f>AVERAGE(F2061:F2069)</f>
        <v>0.0020461109033060743</v>
      </c>
      <c r="G2070" s="71">
        <f>AVERAGE(G2061:G2069)</f>
        <v>0.16554471812249005</v>
      </c>
      <c r="I2070" s="16"/>
    </row>
    <row r="2071" ht="12.75">
      <c r="I2071" s="16"/>
    </row>
    <row r="2072" spans="1:9" ht="12.75">
      <c r="A2072" s="73" t="s">
        <v>0</v>
      </c>
      <c r="B2072" s="73" t="s">
        <v>1</v>
      </c>
      <c r="C2072" s="74" t="s">
        <v>219</v>
      </c>
      <c r="D2072" s="74" t="s">
        <v>218</v>
      </c>
      <c r="E2072" s="74" t="s">
        <v>73</v>
      </c>
      <c r="F2072" s="74" t="s">
        <v>5</v>
      </c>
      <c r="G2072" s="74" t="s">
        <v>6</v>
      </c>
      <c r="H2072" s="74" t="s">
        <v>7</v>
      </c>
      <c r="I2072" s="74" t="s">
        <v>8</v>
      </c>
    </row>
    <row r="2073" spans="1:9" ht="12.75">
      <c r="A2073" s="73" t="s">
        <v>309</v>
      </c>
      <c r="B2073" s="73" t="s">
        <v>92</v>
      </c>
      <c r="C2073" s="75">
        <f>(5/4)^2*E2073</f>
        <v>71.25</v>
      </c>
      <c r="D2073" s="74">
        <v>62.72</v>
      </c>
      <c r="E2073" s="74">
        <v>45.6</v>
      </c>
      <c r="F2073" s="76">
        <f>-((D2073-C2073)/D2073)</f>
        <v>0.1360012755102041</v>
      </c>
      <c r="G2073" s="75">
        <f>C2073-D2073</f>
        <v>8.530000000000001</v>
      </c>
      <c r="H2073" s="74">
        <v>980</v>
      </c>
      <c r="I2073" s="74" t="s">
        <v>310</v>
      </c>
    </row>
    <row r="2074" spans="1:9" ht="12.75">
      <c r="A2074" s="5"/>
      <c r="B2074" s="73" t="s">
        <v>93</v>
      </c>
      <c r="C2074" s="75">
        <f>(5/4)^2*E2074</f>
        <v>51.21875</v>
      </c>
      <c r="D2074" s="74">
        <v>45.67</v>
      </c>
      <c r="E2074" s="74">
        <v>32.78</v>
      </c>
      <c r="F2074" s="76">
        <f>-((D2074-C2074)/D2074)</f>
        <v>0.12149660608714688</v>
      </c>
      <c r="G2074" s="75">
        <f>C2074-D2074</f>
        <v>5.548749999999998</v>
      </c>
      <c r="H2074" s="74">
        <v>980</v>
      </c>
      <c r="I2074" s="74" t="s">
        <v>310</v>
      </c>
    </row>
    <row r="2075" spans="1:9" ht="12.75">
      <c r="A2075" s="5"/>
      <c r="B2075" s="73" t="s">
        <v>44</v>
      </c>
      <c r="C2075" s="75">
        <f>(5/4)^2*E2075</f>
        <v>56.703125</v>
      </c>
      <c r="D2075" s="74">
        <v>49.94</v>
      </c>
      <c r="E2075" s="74">
        <v>36.29</v>
      </c>
      <c r="F2075" s="76">
        <f>-((D2075-C2075)/D2075)</f>
        <v>0.13542501001201446</v>
      </c>
      <c r="G2075" s="75">
        <f>C2075-D2075</f>
        <v>6.763125000000002</v>
      </c>
      <c r="H2075" s="74">
        <v>980</v>
      </c>
      <c r="I2075" s="74" t="s">
        <v>310</v>
      </c>
    </row>
    <row r="2076" spans="1:9" ht="12.75">
      <c r="A2076" s="5"/>
      <c r="B2076" s="73" t="s">
        <v>46</v>
      </c>
      <c r="C2076" s="75">
        <f>(5/4)^2*E2076</f>
        <v>36.5</v>
      </c>
      <c r="D2076" s="74">
        <v>32.97</v>
      </c>
      <c r="E2076" s="74">
        <v>23.36</v>
      </c>
      <c r="F2076" s="76">
        <f>-((D2076-C2076)/D2076)</f>
        <v>0.10706703063390965</v>
      </c>
      <c r="G2076" s="75">
        <f>C2076-D2076</f>
        <v>3.530000000000001</v>
      </c>
      <c r="H2076" s="74">
        <v>980</v>
      </c>
      <c r="I2076" s="74" t="s">
        <v>310</v>
      </c>
    </row>
    <row r="2077" spans="1:9" ht="12.75">
      <c r="A2077" s="5"/>
      <c r="B2077" s="73" t="s">
        <v>103</v>
      </c>
      <c r="C2077" s="75">
        <f>(5/4)^2*E2077</f>
        <v>66.5</v>
      </c>
      <c r="D2077" s="74">
        <v>60.41</v>
      </c>
      <c r="E2077" s="74">
        <v>42.56</v>
      </c>
      <c r="F2077" s="76">
        <f>-((D2077-C2077)/D2077)</f>
        <v>0.10081112398609508</v>
      </c>
      <c r="G2077" s="75">
        <f>C2077-D2077</f>
        <v>6.090000000000003</v>
      </c>
      <c r="H2077" s="74">
        <v>980</v>
      </c>
      <c r="I2077" s="74" t="s">
        <v>310</v>
      </c>
    </row>
    <row r="2078" spans="1:9" ht="12.75">
      <c r="A2078" s="5"/>
      <c r="B2078" s="73" t="s">
        <v>104</v>
      </c>
      <c r="C2078" s="75">
        <f>(5/4)^2*E2078</f>
        <v>56.67187500000001</v>
      </c>
      <c r="D2078" s="74">
        <v>52.65</v>
      </c>
      <c r="E2078" s="74">
        <v>36.27</v>
      </c>
      <c r="F2078" s="76">
        <f>-((D2078-C2078)/D2078)</f>
        <v>0.07638888888888905</v>
      </c>
      <c r="G2078" s="75">
        <f>C2078-D2078</f>
        <v>4.0218750000000085</v>
      </c>
      <c r="H2078" s="74">
        <v>980</v>
      </c>
      <c r="I2078" s="74" t="s">
        <v>310</v>
      </c>
    </row>
    <row r="2079" spans="1:9" ht="12.75">
      <c r="A2079" s="5"/>
      <c r="B2079" s="73" t="s">
        <v>105</v>
      </c>
      <c r="C2079" s="75">
        <f>(5/4)^2*E2079</f>
        <v>51.5625</v>
      </c>
      <c r="D2079" s="74">
        <v>47.73</v>
      </c>
      <c r="E2079" s="74">
        <v>33</v>
      </c>
      <c r="F2079" s="76">
        <f>-((D2079-C2079)/D2079)</f>
        <v>0.0802954116907606</v>
      </c>
      <c r="G2079" s="75">
        <f>C2079-D2079</f>
        <v>3.832500000000003</v>
      </c>
      <c r="H2079" s="74">
        <v>980</v>
      </c>
      <c r="I2079" s="74" t="s">
        <v>310</v>
      </c>
    </row>
    <row r="2080" spans="1:9" ht="12.75">
      <c r="A2080" s="5"/>
      <c r="B2080" s="73" t="s">
        <v>83</v>
      </c>
      <c r="C2080" s="75">
        <f>(5/4)^2*E2080</f>
        <v>65.265625</v>
      </c>
      <c r="D2080" s="74">
        <v>59.68</v>
      </c>
      <c r="E2080" s="74">
        <v>41.77</v>
      </c>
      <c r="F2080" s="76">
        <f>-((D2080-C2080)/D2080)</f>
        <v>0.09359291219839143</v>
      </c>
      <c r="G2080" s="75">
        <f>C2080-D2080</f>
        <v>5.585625</v>
      </c>
      <c r="H2080" s="74">
        <v>980</v>
      </c>
      <c r="I2080" s="74" t="s">
        <v>310</v>
      </c>
    </row>
    <row r="2081" spans="1:9" ht="12.75">
      <c r="A2081" s="5"/>
      <c r="B2081" s="73" t="s">
        <v>84</v>
      </c>
      <c r="C2081" s="75">
        <f>(5/4)^2*E2081</f>
        <v>42.484375</v>
      </c>
      <c r="D2081" s="74">
        <v>40.33</v>
      </c>
      <c r="E2081" s="74">
        <v>27.19</v>
      </c>
      <c r="F2081" s="76">
        <f>-((D2081-C2081)/D2081)</f>
        <v>0.053418670964542565</v>
      </c>
      <c r="G2081" s="75">
        <f>C2081-D2081</f>
        <v>2.1543750000000017</v>
      </c>
      <c r="H2081" s="74">
        <v>980</v>
      </c>
      <c r="I2081" s="74" t="s">
        <v>310</v>
      </c>
    </row>
    <row r="2082" spans="1:9" ht="12.75">
      <c r="A2082" s="5"/>
      <c r="B2082" s="5"/>
      <c r="C2082" s="5"/>
      <c r="D2082" s="5"/>
      <c r="E2082" s="74" t="s">
        <v>14</v>
      </c>
      <c r="F2082" s="76">
        <f>AVERAGE(F2073:F2081)</f>
        <v>0.10049965888577264</v>
      </c>
      <c r="G2082" s="75">
        <f>AVERAGE(G2073:G2081)</f>
        <v>5.117361111111113</v>
      </c>
      <c r="H2082" s="5"/>
      <c r="I2082" s="18"/>
    </row>
    <row r="2083" spans="1:9" ht="12.75">
      <c r="A2083" s="5"/>
      <c r="B2083" s="5"/>
      <c r="C2083" s="5"/>
      <c r="D2083" s="5"/>
      <c r="E2083" s="74"/>
      <c r="F2083" s="76"/>
      <c r="G2083" s="75"/>
      <c r="H2083" s="5"/>
      <c r="I2083" s="18"/>
    </row>
    <row r="2084" spans="1:9" ht="12.75">
      <c r="A2084" s="20" t="s">
        <v>0</v>
      </c>
      <c r="B2084" s="20" t="s">
        <v>1</v>
      </c>
      <c r="C2084" s="16" t="s">
        <v>113</v>
      </c>
      <c r="D2084" s="16" t="s">
        <v>73</v>
      </c>
      <c r="E2084" s="16" t="s">
        <v>3</v>
      </c>
      <c r="F2084" s="16" t="s">
        <v>5</v>
      </c>
      <c r="G2084" s="16" t="s">
        <v>6</v>
      </c>
      <c r="H2084" s="16" t="s">
        <v>7</v>
      </c>
      <c r="I2084" s="16" t="s">
        <v>8</v>
      </c>
    </row>
    <row r="2085" spans="1:9" ht="12.75">
      <c r="A2085" s="20" t="s">
        <v>311</v>
      </c>
      <c r="B2085" s="20" t="s">
        <v>312</v>
      </c>
      <c r="C2085" s="21">
        <f>(4/3)^1.56*E2085</f>
        <v>62.34297187947817</v>
      </c>
      <c r="D2085" s="16">
        <v>59.34</v>
      </c>
      <c r="E2085" s="16">
        <v>39.8</v>
      </c>
      <c r="F2085" s="22">
        <f>-((D2085-C2085)/D2085)</f>
        <v>0.05060619951934896</v>
      </c>
      <c r="G2085" s="21">
        <f>C2085-D2085</f>
        <v>3.0029718794781672</v>
      </c>
      <c r="H2085" s="16">
        <v>820</v>
      </c>
      <c r="I2085" s="16" t="s">
        <v>313</v>
      </c>
    </row>
    <row r="2086" spans="2:9" ht="12.75">
      <c r="B2086" s="20" t="s">
        <v>300</v>
      </c>
      <c r="C2086" s="21">
        <f>(4/3)^1.56*E2086</f>
        <v>56.75090128626869</v>
      </c>
      <c r="D2086" s="16">
        <v>54.51</v>
      </c>
      <c r="E2086" s="16">
        <v>36.23</v>
      </c>
      <c r="F2086" s="22">
        <f>-((D2086-C2086)/D2086)</f>
        <v>0.04110991169085847</v>
      </c>
      <c r="G2086" s="21">
        <f>C2086-D2086</f>
        <v>2.240901286268695</v>
      </c>
      <c r="H2086" s="16">
        <v>820</v>
      </c>
      <c r="I2086" s="16" t="s">
        <v>313</v>
      </c>
    </row>
    <row r="2087" spans="2:9" ht="12.75">
      <c r="B2087" s="20" t="s">
        <v>299</v>
      </c>
      <c r="C2087" s="21">
        <f>(4/3)^1.56*E2087</f>
        <v>41.18082237968546</v>
      </c>
      <c r="D2087" s="16">
        <v>40.83</v>
      </c>
      <c r="E2087" s="16">
        <v>26.29</v>
      </c>
      <c r="F2087" s="22">
        <f>-((D2087-C2087)/D2087)</f>
        <v>0.00859226989188001</v>
      </c>
      <c r="G2087" s="21">
        <f>C2087-D2087</f>
        <v>0.3508223796854608</v>
      </c>
      <c r="H2087" s="16">
        <v>820</v>
      </c>
      <c r="I2087" s="16" t="s">
        <v>313</v>
      </c>
    </row>
    <row r="2088" spans="2:9" ht="12.75">
      <c r="B2088" s="20" t="s">
        <v>288</v>
      </c>
      <c r="C2088" s="21">
        <f>(4/3)^1.56*E2088</f>
        <v>50.23465095916746</v>
      </c>
      <c r="D2088" s="16">
        <v>51.13</v>
      </c>
      <c r="E2088" s="16">
        <v>32.07</v>
      </c>
      <c r="F2088" s="22">
        <f>-((D2088-C2088)/D2088)</f>
        <v>-0.017511227084540233</v>
      </c>
      <c r="G2088" s="21">
        <f>C2088-D2088</f>
        <v>-0.8953490408325422</v>
      </c>
      <c r="H2088" s="16">
        <v>820</v>
      </c>
      <c r="I2088" s="16" t="s">
        <v>313</v>
      </c>
    </row>
    <row r="2089" spans="2:9" ht="12.75">
      <c r="B2089" s="20" t="s">
        <v>284</v>
      </c>
      <c r="C2089" s="21">
        <f>(4/3)^1.56*E2089</f>
        <v>60.29097958897274</v>
      </c>
      <c r="D2089" s="16">
        <v>61.97</v>
      </c>
      <c r="E2089" s="16">
        <v>38.49</v>
      </c>
      <c r="F2089" s="22">
        <f>-((D2089-C2089)/D2089)</f>
        <v>-0.027094084412252053</v>
      </c>
      <c r="G2089" s="21">
        <f>C2089-D2089</f>
        <v>-1.6790204110272597</v>
      </c>
      <c r="H2089" s="16">
        <v>820</v>
      </c>
      <c r="I2089" s="16" t="s">
        <v>313</v>
      </c>
    </row>
    <row r="2090" spans="2:9" ht="12.75">
      <c r="B2090" s="20" t="s">
        <v>286</v>
      </c>
      <c r="C2090" s="21">
        <f>(4/3)^1.56*E2090</f>
        <v>54.47961210975505</v>
      </c>
      <c r="D2090" s="16">
        <v>54.21</v>
      </c>
      <c r="E2090" s="16">
        <v>34.78</v>
      </c>
      <c r="F2090" s="22">
        <f>-((D2090-C2090)/D2090)</f>
        <v>0.004973475553496618</v>
      </c>
      <c r="G2090" s="21">
        <f>C2090-D2090</f>
        <v>0.2696121097550517</v>
      </c>
      <c r="H2090" s="16">
        <v>820</v>
      </c>
      <c r="I2090" s="16" t="s">
        <v>313</v>
      </c>
    </row>
    <row r="2091" spans="2:9" ht="12.75">
      <c r="B2091" s="20" t="s">
        <v>289</v>
      </c>
      <c r="C2091" s="21">
        <f>(4/3)^1.56*E2091</f>
        <v>50.688908794470194</v>
      </c>
      <c r="D2091" s="16">
        <v>51.44</v>
      </c>
      <c r="E2091" s="16">
        <v>32.36</v>
      </c>
      <c r="F2091" s="22">
        <f>-((D2091-C2091)/D2091)</f>
        <v>-0.014601306483860878</v>
      </c>
      <c r="G2091" s="21">
        <f>C2091-D2091</f>
        <v>-0.7510912055298036</v>
      </c>
      <c r="H2091" s="16">
        <v>820</v>
      </c>
      <c r="I2091" s="16" t="s">
        <v>313</v>
      </c>
    </row>
    <row r="2092" spans="2:9" ht="12.75">
      <c r="B2092" s="20" t="s">
        <v>308</v>
      </c>
      <c r="C2092" s="21">
        <f>(4/3)^1.56*E2092</f>
        <v>63.141839107079534</v>
      </c>
      <c r="D2092" s="16">
        <v>59.91</v>
      </c>
      <c r="E2092" s="16">
        <v>40.31</v>
      </c>
      <c r="F2092" s="22">
        <f>-((D2092-C2092)/D2092)</f>
        <v>0.05394490247169984</v>
      </c>
      <c r="G2092" s="21">
        <f>C2092-D2092</f>
        <v>3.231839107079537</v>
      </c>
      <c r="H2092" s="16">
        <v>820</v>
      </c>
      <c r="I2092" s="16" t="s">
        <v>313</v>
      </c>
    </row>
    <row r="2093" spans="2:9" ht="12.75">
      <c r="B2093" s="20" t="s">
        <v>287</v>
      </c>
      <c r="C2093" s="21">
        <f>(4/3)^1.56*E2093</f>
        <v>54.27597928703313</v>
      </c>
      <c r="D2093" s="16">
        <v>55.03</v>
      </c>
      <c r="E2093" s="16">
        <v>34.65</v>
      </c>
      <c r="F2093" s="22">
        <f>-((D2093-C2093)/D2093)</f>
        <v>-0.013701993693746504</v>
      </c>
      <c r="G2093" s="21">
        <f>C2093-D2093</f>
        <v>-0.7540207129668701</v>
      </c>
      <c r="H2093" s="16">
        <v>820</v>
      </c>
      <c r="I2093" s="16" t="s">
        <v>313</v>
      </c>
    </row>
    <row r="2094" spans="2:9" ht="12.75">
      <c r="B2094" s="20" t="s">
        <v>242</v>
      </c>
      <c r="C2094" s="21">
        <f>(4/3)^1.56*E2094</f>
        <v>46.89820547918534</v>
      </c>
      <c r="D2094" s="16">
        <v>46.6</v>
      </c>
      <c r="E2094" s="16">
        <v>29.94</v>
      </c>
      <c r="F2094" s="22">
        <f>-((D2094-C2094)/D2094)</f>
        <v>0.006399259209985868</v>
      </c>
      <c r="G2094" s="21">
        <f>C2094-D2094</f>
        <v>0.29820547918534146</v>
      </c>
      <c r="H2094" s="16">
        <v>820</v>
      </c>
      <c r="I2094" s="16" t="s">
        <v>313</v>
      </c>
    </row>
    <row r="2095" spans="2:9" ht="12.75">
      <c r="B2095" s="20" t="s">
        <v>148</v>
      </c>
      <c r="C2095" s="21">
        <f>(4/3)^1.56*E2095</f>
        <v>37.54675969726361</v>
      </c>
      <c r="D2095" s="16">
        <v>38.95</v>
      </c>
      <c r="E2095" s="16">
        <v>23.97</v>
      </c>
      <c r="F2095" s="22">
        <f>-((D2095-C2095)/D2095)</f>
        <v>-0.0360267086710242</v>
      </c>
      <c r="G2095" s="21">
        <f>C2095-D2095</f>
        <v>-1.4032403027363927</v>
      </c>
      <c r="H2095" s="16">
        <v>820</v>
      </c>
      <c r="I2095" s="16" t="s">
        <v>313</v>
      </c>
    </row>
    <row r="2096" spans="2:9" ht="12.75">
      <c r="B2096" s="20" t="s">
        <v>243</v>
      </c>
      <c r="C2096" s="21">
        <f>(4/3)^1.56*E2096</f>
        <v>46.96086173233054</v>
      </c>
      <c r="D2096" s="16">
        <v>46.37</v>
      </c>
      <c r="E2096" s="16">
        <v>29.98</v>
      </c>
      <c r="F2096" s="22">
        <f>-((D2096-C2096)/D2096)</f>
        <v>0.012742327632748436</v>
      </c>
      <c r="G2096" s="21">
        <f>C2096-D2096</f>
        <v>0.590861732330545</v>
      </c>
      <c r="H2096" s="16">
        <v>820</v>
      </c>
      <c r="I2096" s="16" t="s">
        <v>313</v>
      </c>
    </row>
    <row r="2097" spans="2:9" ht="12.75">
      <c r="B2097" s="20" t="s">
        <v>244</v>
      </c>
      <c r="C2097" s="21">
        <f>(4/3)^1.56*E2097</f>
        <v>39.05050977274851</v>
      </c>
      <c r="D2097" s="16">
        <v>40.83</v>
      </c>
      <c r="E2097" s="16">
        <v>24.93</v>
      </c>
      <c r="F2097" s="22">
        <f>-((D2097-C2097)/D2097)</f>
        <v>-0.04358291029271335</v>
      </c>
      <c r="G2097" s="21">
        <f>C2097-D2097</f>
        <v>-1.779490227251486</v>
      </c>
      <c r="H2097" s="16">
        <v>820</v>
      </c>
      <c r="I2097" s="16" t="s">
        <v>313</v>
      </c>
    </row>
    <row r="2098" spans="2:9" ht="12.75">
      <c r="B2098" s="20"/>
      <c r="C2098" s="21"/>
      <c r="D2098" s="16"/>
      <c r="E2098" s="16" t="s">
        <v>14</v>
      </c>
      <c r="F2098" s="22">
        <f>AVERAGE(F2085:F2097)</f>
        <v>0.0019884704101446908</v>
      </c>
      <c r="G2098" s="21">
        <f>AVERAGE(G2085:G2097)</f>
        <v>0.2094616979568034</v>
      </c>
      <c r="H2098" s="16"/>
      <c r="I2098" s="16"/>
    </row>
    <row r="2099" spans="2:9" ht="12.75">
      <c r="B2099" s="20"/>
      <c r="C2099" s="21"/>
      <c r="D2099" s="16"/>
      <c r="E2099" s="16"/>
      <c r="F2099" s="22"/>
      <c r="G2099" s="21"/>
      <c r="H2099" s="16"/>
      <c r="I2099" s="16"/>
    </row>
    <row r="2100" spans="1:9" ht="12.75">
      <c r="A2100" s="23" t="s">
        <v>0</v>
      </c>
      <c r="B2100" s="23" t="s">
        <v>1</v>
      </c>
      <c r="C2100" s="18" t="s">
        <v>74</v>
      </c>
      <c r="D2100" s="18" t="s">
        <v>73</v>
      </c>
      <c r="E2100" s="18" t="s">
        <v>3</v>
      </c>
      <c r="F2100" s="18" t="s">
        <v>5</v>
      </c>
      <c r="G2100" s="18" t="s">
        <v>6</v>
      </c>
      <c r="H2100" s="18" t="s">
        <v>7</v>
      </c>
      <c r="I2100" s="18" t="s">
        <v>8</v>
      </c>
    </row>
    <row r="2101" spans="1:9" ht="12.75">
      <c r="A2101" s="23" t="s">
        <v>311</v>
      </c>
      <c r="B2101" s="23" t="s">
        <v>312</v>
      </c>
      <c r="C2101" s="24">
        <f>(4/3)^2*E2101</f>
        <v>70.75555555555555</v>
      </c>
      <c r="D2101" s="18">
        <v>59.34</v>
      </c>
      <c r="E2101" s="18">
        <v>39.8</v>
      </c>
      <c r="F2101" s="25">
        <f>-((D2101-C2101)/D2101)</f>
        <v>0.1923753885331234</v>
      </c>
      <c r="G2101" s="24">
        <f>C2101-D2101</f>
        <v>11.415555555555542</v>
      </c>
      <c r="H2101" s="18">
        <v>820</v>
      </c>
      <c r="I2101" s="18" t="s">
        <v>313</v>
      </c>
    </row>
    <row r="2102" spans="1:9" ht="12.75">
      <c r="A2102" s="5"/>
      <c r="B2102" s="23" t="s">
        <v>300</v>
      </c>
      <c r="C2102" s="24">
        <f>(4/3)^2*E2102</f>
        <v>64.40888888888888</v>
      </c>
      <c r="D2102" s="18">
        <v>54.51</v>
      </c>
      <c r="E2102" s="18">
        <v>36.23</v>
      </c>
      <c r="F2102" s="25">
        <f>-((D2102-C2102)/D2102)</f>
        <v>0.18159766811390357</v>
      </c>
      <c r="G2102" s="24">
        <f>C2102-D2102</f>
        <v>9.898888888888884</v>
      </c>
      <c r="H2102" s="18">
        <v>820</v>
      </c>
      <c r="I2102" s="18" t="s">
        <v>313</v>
      </c>
    </row>
    <row r="2103" spans="1:9" ht="12.75">
      <c r="A2103" s="5"/>
      <c r="B2103" s="23" t="s">
        <v>299</v>
      </c>
      <c r="C2103" s="24">
        <f>(4/3)^2*E2103</f>
        <v>46.73777777777777</v>
      </c>
      <c r="D2103" s="18">
        <v>40.83</v>
      </c>
      <c r="E2103" s="18">
        <v>26.29</v>
      </c>
      <c r="F2103" s="25">
        <f>-((D2103-C2103)/D2103)</f>
        <v>0.14469208370751346</v>
      </c>
      <c r="G2103" s="24">
        <f>C2103-D2103</f>
        <v>5.907777777777774</v>
      </c>
      <c r="H2103" s="18">
        <v>820</v>
      </c>
      <c r="I2103" s="18" t="s">
        <v>313</v>
      </c>
    </row>
    <row r="2104" spans="1:9" ht="12.75">
      <c r="A2104" s="5"/>
      <c r="B2104" s="23" t="s">
        <v>288</v>
      </c>
      <c r="C2104" s="24">
        <f>(4/3)^2*E2104</f>
        <v>57.01333333333333</v>
      </c>
      <c r="D2104" s="18">
        <v>51.13</v>
      </c>
      <c r="E2104" s="18">
        <v>32.07</v>
      </c>
      <c r="F2104" s="25">
        <f>-((D2104-C2104)/D2104)</f>
        <v>0.11506617119760074</v>
      </c>
      <c r="G2104" s="24">
        <f>C2104-D2104</f>
        <v>5.883333333333326</v>
      </c>
      <c r="H2104" s="18">
        <v>820</v>
      </c>
      <c r="I2104" s="18" t="s">
        <v>313</v>
      </c>
    </row>
    <row r="2105" spans="1:9" ht="12.75">
      <c r="A2105" s="5"/>
      <c r="B2105" s="23" t="s">
        <v>284</v>
      </c>
      <c r="C2105" s="24">
        <f>(4/3)^2*E2105</f>
        <v>68.42666666666666</v>
      </c>
      <c r="D2105" s="18">
        <v>61.97</v>
      </c>
      <c r="E2105" s="18">
        <v>38.49</v>
      </c>
      <c r="F2105" s="25">
        <f>-((D2105-C2105)/D2105)</f>
        <v>0.1041901995589263</v>
      </c>
      <c r="G2105" s="24">
        <f>C2105-D2105</f>
        <v>6.4566666666666634</v>
      </c>
      <c r="H2105" s="18">
        <v>820</v>
      </c>
      <c r="I2105" s="18" t="s">
        <v>313</v>
      </c>
    </row>
    <row r="2106" spans="1:9" ht="12.75">
      <c r="A2106" s="5"/>
      <c r="B2106" s="23" t="s">
        <v>286</v>
      </c>
      <c r="C2106" s="24">
        <f>(4/3)^2*E2106</f>
        <v>61.83111111111111</v>
      </c>
      <c r="D2106" s="18">
        <v>54.21</v>
      </c>
      <c r="E2106" s="18">
        <v>34.78</v>
      </c>
      <c r="F2106" s="25">
        <f>-((D2106-C2106)/D2106)</f>
        <v>0.14058496792309744</v>
      </c>
      <c r="G2106" s="24">
        <f>C2106-D2106</f>
        <v>7.621111111111112</v>
      </c>
      <c r="H2106" s="18">
        <v>820</v>
      </c>
      <c r="I2106" s="18" t="s">
        <v>313</v>
      </c>
    </row>
    <row r="2107" spans="1:9" ht="12.75">
      <c r="A2107" s="5"/>
      <c r="B2107" s="23" t="s">
        <v>289</v>
      </c>
      <c r="C2107" s="24">
        <f>(4/3)^2*E2107</f>
        <v>57.528888888888886</v>
      </c>
      <c r="D2107" s="18">
        <v>51.44</v>
      </c>
      <c r="E2107" s="18">
        <v>32.36</v>
      </c>
      <c r="F2107" s="25">
        <f>-((D2107-C2107)/D2107)</f>
        <v>0.11836875756004839</v>
      </c>
      <c r="G2107" s="24">
        <f>C2107-D2107</f>
        <v>6.088888888888889</v>
      </c>
      <c r="H2107" s="18">
        <v>820</v>
      </c>
      <c r="I2107" s="18" t="s">
        <v>313</v>
      </c>
    </row>
    <row r="2108" spans="1:9" ht="12.75">
      <c r="A2108" s="5"/>
      <c r="B2108" s="23" t="s">
        <v>308</v>
      </c>
      <c r="C2108" s="24">
        <f>(4/3)^2*E2108</f>
        <v>71.66222222222223</v>
      </c>
      <c r="D2108" s="18">
        <v>59.91</v>
      </c>
      <c r="E2108" s="18">
        <v>40.31</v>
      </c>
      <c r="F2108" s="25">
        <f>-((D2108-C2108)/D2108)</f>
        <v>0.19616461729631499</v>
      </c>
      <c r="G2108" s="24">
        <f>C2108-D2108</f>
        <v>11.75222222222223</v>
      </c>
      <c r="H2108" s="18">
        <v>820</v>
      </c>
      <c r="I2108" s="18" t="s">
        <v>313</v>
      </c>
    </row>
    <row r="2109" spans="1:9" ht="12.75">
      <c r="A2109" s="5"/>
      <c r="B2109" s="23" t="s">
        <v>287</v>
      </c>
      <c r="C2109" s="24">
        <f>(4/3)^2*E2109</f>
        <v>61.599999999999994</v>
      </c>
      <c r="D2109" s="18">
        <v>55.03</v>
      </c>
      <c r="E2109" s="18">
        <v>34.65</v>
      </c>
      <c r="F2109" s="25">
        <f>-((D2109-C2109)/D2109)</f>
        <v>0.11938942395057228</v>
      </c>
      <c r="G2109" s="24">
        <f>C2109-D2109</f>
        <v>6.569999999999993</v>
      </c>
      <c r="H2109" s="18">
        <v>820</v>
      </c>
      <c r="I2109" s="18" t="s">
        <v>313</v>
      </c>
    </row>
    <row r="2110" spans="1:9" ht="12.75">
      <c r="A2110" s="5"/>
      <c r="B2110" s="23" t="s">
        <v>242</v>
      </c>
      <c r="C2110" s="24">
        <f>(4/3)^2*E2110</f>
        <v>53.22666666666667</v>
      </c>
      <c r="D2110" s="18">
        <v>46.6</v>
      </c>
      <c r="E2110" s="18">
        <v>29.94</v>
      </c>
      <c r="F2110" s="25">
        <f>-((D2110-C2110)/D2110)</f>
        <v>0.1422031473533619</v>
      </c>
      <c r="G2110" s="24">
        <f>C2110-D2110</f>
        <v>6.626666666666665</v>
      </c>
      <c r="H2110" s="18">
        <v>820</v>
      </c>
      <c r="I2110" s="18" t="s">
        <v>313</v>
      </c>
    </row>
    <row r="2111" spans="1:9" ht="12.75">
      <c r="A2111" s="5"/>
      <c r="B2111" s="23" t="s">
        <v>148</v>
      </c>
      <c r="C2111" s="24">
        <f>(4/3)^2*E2111</f>
        <v>42.61333333333333</v>
      </c>
      <c r="D2111" s="18">
        <v>38.95</v>
      </c>
      <c r="E2111" s="18">
        <v>23.97</v>
      </c>
      <c r="F2111" s="25">
        <f>-((D2111-C2111)/D2111)</f>
        <v>0.09405220367993136</v>
      </c>
      <c r="G2111" s="24">
        <f>C2111-D2111</f>
        <v>3.663333333333327</v>
      </c>
      <c r="H2111" s="18">
        <v>820</v>
      </c>
      <c r="I2111" s="18" t="s">
        <v>313</v>
      </c>
    </row>
    <row r="2112" spans="1:9" ht="12.75">
      <c r="A2112" s="5"/>
      <c r="B2112" s="23" t="s">
        <v>243</v>
      </c>
      <c r="C2112" s="24">
        <f>(4/3)^2*E2112</f>
        <v>53.297777777777775</v>
      </c>
      <c r="D2112" s="18">
        <v>46.37</v>
      </c>
      <c r="E2112" s="18">
        <v>29.98</v>
      </c>
      <c r="F2112" s="25">
        <f>-((D2112-C2112)/D2112)</f>
        <v>0.14940215177437519</v>
      </c>
      <c r="G2112" s="24">
        <f>C2112-D2112</f>
        <v>6.927777777777777</v>
      </c>
      <c r="H2112" s="18">
        <v>820</v>
      </c>
      <c r="I2112" s="18" t="s">
        <v>313</v>
      </c>
    </row>
    <row r="2113" spans="1:9" ht="12.75">
      <c r="A2113" s="5"/>
      <c r="B2113" s="23" t="s">
        <v>244</v>
      </c>
      <c r="C2113" s="24">
        <f>(4/3)^2*E2113</f>
        <v>44.32</v>
      </c>
      <c r="D2113" s="18">
        <v>40.83</v>
      </c>
      <c r="E2113" s="18">
        <v>24.93</v>
      </c>
      <c r="F2113" s="25">
        <f>-((D2113-C2113)/D2113)</f>
        <v>0.08547636541758516</v>
      </c>
      <c r="G2113" s="24">
        <f>C2113-D2113</f>
        <v>3.490000000000002</v>
      </c>
      <c r="H2113" s="18">
        <v>820</v>
      </c>
      <c r="I2113" s="18" t="s">
        <v>313</v>
      </c>
    </row>
    <row r="2114" spans="1:9" ht="12.75">
      <c r="A2114" s="5"/>
      <c r="B2114" s="23"/>
      <c r="C2114" s="24"/>
      <c r="D2114" s="18"/>
      <c r="E2114" s="18" t="s">
        <v>14</v>
      </c>
      <c r="F2114" s="25">
        <f>AVERAGE(F2101:F2113)</f>
        <v>0.13719716508202726</v>
      </c>
      <c r="G2114" s="24">
        <f>AVERAGE(G2101:G2113)</f>
        <v>7.100170940170939</v>
      </c>
      <c r="H2114" s="18"/>
      <c r="I2114" s="18"/>
    </row>
    <row r="2115" spans="2:9" ht="12.75">
      <c r="B2115" s="20"/>
      <c r="C2115" s="20"/>
      <c r="D2115" s="16"/>
      <c r="E2115" s="16"/>
      <c r="F2115" s="16"/>
      <c r="G2115" s="16"/>
      <c r="H2115" s="16"/>
      <c r="I2115" s="18"/>
    </row>
    <row r="2116" spans="1:9" ht="12.75">
      <c r="A2116" s="69" t="s">
        <v>0</v>
      </c>
      <c r="B2116" s="69" t="s">
        <v>1</v>
      </c>
      <c r="C2116" s="70" t="s">
        <v>314</v>
      </c>
      <c r="D2116" s="70" t="s">
        <v>218</v>
      </c>
      <c r="E2116" s="70" t="s">
        <v>73</v>
      </c>
      <c r="F2116" s="70" t="s">
        <v>5</v>
      </c>
      <c r="G2116" s="70" t="s">
        <v>6</v>
      </c>
      <c r="H2116" s="70" t="s">
        <v>7</v>
      </c>
      <c r="I2116" s="70" t="s">
        <v>8</v>
      </c>
    </row>
    <row r="2117" spans="1:9" ht="12.75">
      <c r="A2117" s="69" t="s">
        <v>311</v>
      </c>
      <c r="B2117" s="69" t="s">
        <v>299</v>
      </c>
      <c r="C2117" s="71">
        <f>(5/4)^1.6*E2117</f>
        <v>58.349266469352294</v>
      </c>
      <c r="D2117" s="70">
        <v>56.42</v>
      </c>
      <c r="E2117" s="70">
        <v>40.83</v>
      </c>
      <c r="F2117" s="72">
        <f>-((D2117-C2117)/D2117)</f>
        <v>0.034194726503939954</v>
      </c>
      <c r="G2117" s="71">
        <f>C2117-D2117</f>
        <v>1.9292664693522923</v>
      </c>
      <c r="H2117" s="70">
        <v>820</v>
      </c>
      <c r="I2117" s="70" t="s">
        <v>313</v>
      </c>
    </row>
    <row r="2118" spans="2:9" ht="12.75">
      <c r="B2118" s="69" t="s">
        <v>301</v>
      </c>
      <c r="C2118" s="71">
        <f>(5/4)^1.6*E2118</f>
        <v>56.64866330749756</v>
      </c>
      <c r="D2118" s="70">
        <v>54.45</v>
      </c>
      <c r="E2118" s="70">
        <v>39.64</v>
      </c>
      <c r="F2118" s="72">
        <f>-((D2118-C2118)/D2118)</f>
        <v>0.0403794914140965</v>
      </c>
      <c r="G2118" s="71">
        <f>C2118-D2118</f>
        <v>2.1986633074975543</v>
      </c>
      <c r="H2118" s="70">
        <v>820</v>
      </c>
      <c r="I2118" s="70" t="s">
        <v>313</v>
      </c>
    </row>
    <row r="2119" spans="2:9" ht="12.75">
      <c r="B2119" s="69" t="s">
        <v>91</v>
      </c>
      <c r="C2119" s="71">
        <f>(5/4)^1.6*E2119</f>
        <v>52.59008097164253</v>
      </c>
      <c r="D2119" s="70">
        <v>50.8</v>
      </c>
      <c r="E2119" s="70">
        <v>36.8</v>
      </c>
      <c r="F2119" s="72">
        <f>-((D2119-C2119)/D2119)</f>
        <v>0.03523781440241204</v>
      </c>
      <c r="G2119" s="71">
        <f>C2119-D2119</f>
        <v>1.7900809716425314</v>
      </c>
      <c r="H2119" s="70">
        <v>820</v>
      </c>
      <c r="I2119" s="70" t="s">
        <v>313</v>
      </c>
    </row>
    <row r="2120" spans="2:9" ht="12.75">
      <c r="B2120" s="69" t="s">
        <v>92</v>
      </c>
      <c r="C2120" s="71">
        <f>(5/4)^1.6*E2120</f>
        <v>43.95844811651425</v>
      </c>
      <c r="D2120" s="70">
        <v>42.36</v>
      </c>
      <c r="E2120" s="70">
        <v>30.76</v>
      </c>
      <c r="F2120" s="72">
        <f>-((D2120-C2120)/D2120)</f>
        <v>0.037734846943206994</v>
      </c>
      <c r="G2120" s="71">
        <f>C2120-D2120</f>
        <v>1.5984481165142483</v>
      </c>
      <c r="H2120" s="70">
        <v>820</v>
      </c>
      <c r="I2120" s="70" t="s">
        <v>313</v>
      </c>
    </row>
    <row r="2121" spans="2:9" ht="12.75">
      <c r="B2121" s="69" t="s">
        <v>93</v>
      </c>
      <c r="C2121" s="71">
        <f>(5/4)^1.6*E2121</f>
        <v>30.653729262003594</v>
      </c>
      <c r="D2121" s="70">
        <v>30.16</v>
      </c>
      <c r="E2121" s="70">
        <v>21.45</v>
      </c>
      <c r="F2121" s="72">
        <f>-((D2121-C2121)/D2121)</f>
        <v>0.016370333620808822</v>
      </c>
      <c r="G2121" s="71">
        <f>C2121-D2121</f>
        <v>0.493729262003594</v>
      </c>
      <c r="H2121" s="70">
        <v>820</v>
      </c>
      <c r="I2121" s="70" t="s">
        <v>313</v>
      </c>
    </row>
    <row r="2122" spans="2:9" ht="12.75">
      <c r="B2122" s="69" t="s">
        <v>44</v>
      </c>
      <c r="C2122" s="71">
        <f>(5/4)^1.6*E2122</f>
        <v>33.85486462549488</v>
      </c>
      <c r="D2122" s="70">
        <v>33.25</v>
      </c>
      <c r="E2122" s="70">
        <v>23.69</v>
      </c>
      <c r="F2122" s="72">
        <f>-((D2122-C2122)/D2122)</f>
        <v>0.018191417308116797</v>
      </c>
      <c r="G2122" s="71">
        <f>C2122-D2122</f>
        <v>0.6048646254948835</v>
      </c>
      <c r="H2122" s="70">
        <v>820</v>
      </c>
      <c r="I2122" s="70" t="s">
        <v>313</v>
      </c>
    </row>
    <row r="2123" spans="2:9" ht="12.75">
      <c r="B2123" s="69" t="s">
        <v>96</v>
      </c>
      <c r="C2123" s="71">
        <f>(5/4)^1.6*E2123</f>
        <v>47.51685305182375</v>
      </c>
      <c r="D2123" s="70">
        <v>48.49</v>
      </c>
      <c r="E2123" s="70">
        <v>33.25</v>
      </c>
      <c r="F2123" s="72">
        <f>-((D2123-C2123)/D2123)</f>
        <v>-0.020069023472391218</v>
      </c>
      <c r="G2123" s="71">
        <f>C2123-D2123</f>
        <v>-0.9731469481762502</v>
      </c>
      <c r="H2123" s="70">
        <v>820</v>
      </c>
      <c r="I2123" s="70" t="s">
        <v>313</v>
      </c>
    </row>
    <row r="2124" spans="2:9" ht="12.75">
      <c r="B2124" s="69" t="s">
        <v>148</v>
      </c>
      <c r="C2124" s="71">
        <f>(5/4)^1.6*E2124</f>
        <v>55.66259928927926</v>
      </c>
      <c r="D2124" s="70">
        <v>56.95</v>
      </c>
      <c r="E2124" s="70">
        <v>38.95</v>
      </c>
      <c r="F2124" s="72">
        <f>-((D2124-C2124)/D2124)</f>
        <v>-0.022605807036360774</v>
      </c>
      <c r="G2124" s="71">
        <f>C2124-D2124</f>
        <v>-1.2874007107207461</v>
      </c>
      <c r="H2124" s="70">
        <v>820</v>
      </c>
      <c r="I2124" s="70" t="s">
        <v>313</v>
      </c>
    </row>
    <row r="2125" spans="2:9" ht="12.75">
      <c r="B2125" s="69" t="s">
        <v>244</v>
      </c>
      <c r="C2125" s="71">
        <f>(5/4)^1.6*E2125</f>
        <v>58.349266469352294</v>
      </c>
      <c r="D2125" s="70">
        <v>58.26</v>
      </c>
      <c r="E2125" s="70">
        <v>40.83</v>
      </c>
      <c r="F2125" s="72">
        <f>-((D2125-C2125)/D2125)</f>
        <v>0.0015322085367713008</v>
      </c>
      <c r="G2125" s="71">
        <f>C2125-D2125</f>
        <v>0.08926646935229599</v>
      </c>
      <c r="H2125" s="70">
        <v>820</v>
      </c>
      <c r="I2125" s="70" t="s">
        <v>313</v>
      </c>
    </row>
    <row r="2126" spans="2:9" ht="12.75">
      <c r="B2126" s="69" t="s">
        <v>122</v>
      </c>
      <c r="C2126" s="71">
        <f>(5/4)^1.6*E2126</f>
        <v>54.19064865338817</v>
      </c>
      <c r="D2126" s="70">
        <v>55.55</v>
      </c>
      <c r="E2126" s="70">
        <v>37.92</v>
      </c>
      <c r="F2126" s="72">
        <f>-((D2126-C2126)/D2126)</f>
        <v>-0.024470771316144446</v>
      </c>
      <c r="G2126" s="71">
        <f>C2126-D2126</f>
        <v>-1.3593513466118239</v>
      </c>
      <c r="H2126" s="70">
        <v>820</v>
      </c>
      <c r="I2126" s="70" t="s">
        <v>313</v>
      </c>
    </row>
    <row r="2127" spans="2:9" ht="12.75">
      <c r="B2127" s="69" t="s">
        <v>97</v>
      </c>
      <c r="C2127" s="71">
        <f>(5/4)^1.6*E2127</f>
        <v>49.87483222582403</v>
      </c>
      <c r="D2127" s="70">
        <v>50.98</v>
      </c>
      <c r="E2127" s="70">
        <v>34.9</v>
      </c>
      <c r="F2127" s="72">
        <f>-((D2127-C2127)/D2127)</f>
        <v>-0.021678457712357154</v>
      </c>
      <c r="G2127" s="71">
        <f>C2127-D2127</f>
        <v>-1.1051677741759676</v>
      </c>
      <c r="H2127" s="70">
        <v>820</v>
      </c>
      <c r="I2127" s="70" t="s">
        <v>313</v>
      </c>
    </row>
    <row r="2128" spans="2:9" ht="12.75">
      <c r="B2128" s="69" t="s">
        <v>98</v>
      </c>
      <c r="C2128" s="71">
        <f>(5/4)^1.6*E2128</f>
        <v>42.27213573753223</v>
      </c>
      <c r="D2128" s="70">
        <v>43.71</v>
      </c>
      <c r="E2128" s="70">
        <v>29.58</v>
      </c>
      <c r="F2128" s="72">
        <f>-((D2128-C2128)/D2128)</f>
        <v>-0.032895544783064966</v>
      </c>
      <c r="G2128" s="71">
        <f>C2128-D2128</f>
        <v>-1.4378642624677695</v>
      </c>
      <c r="H2128" s="70">
        <v>820</v>
      </c>
      <c r="I2128" s="70" t="s">
        <v>313</v>
      </c>
    </row>
    <row r="2129" spans="2:9" ht="12.75">
      <c r="B2129" s="69" t="s">
        <v>101</v>
      </c>
      <c r="C2129" s="71">
        <f>(5/4)^1.6*E2129</f>
        <v>56.934478964952135</v>
      </c>
      <c r="D2129" s="70">
        <v>55.48</v>
      </c>
      <c r="E2129" s="70">
        <v>39.84</v>
      </c>
      <c r="F2129" s="72">
        <f>-((D2129-C2129)/D2129)</f>
        <v>0.02621627550382368</v>
      </c>
      <c r="G2129" s="71">
        <f>C2129-D2129</f>
        <v>1.4544789649521377</v>
      </c>
      <c r="H2129" s="70">
        <v>820</v>
      </c>
      <c r="I2129" s="70" t="s">
        <v>313</v>
      </c>
    </row>
    <row r="2130" spans="2:9" ht="12.75">
      <c r="B2130" s="69" t="s">
        <v>103</v>
      </c>
      <c r="C2130" s="71">
        <f>(5/4)^1.6*E2130</f>
        <v>39.25678055138642</v>
      </c>
      <c r="D2130" s="70">
        <v>40.13</v>
      </c>
      <c r="E2130" s="70">
        <v>27.47</v>
      </c>
      <c r="F2130" s="72">
        <f>-((D2130-C2130)/D2130)</f>
        <v>-0.021759766972678354</v>
      </c>
      <c r="G2130" s="71">
        <f>C2130-D2130</f>
        <v>-0.8732194486135825</v>
      </c>
      <c r="H2130" s="70">
        <v>820</v>
      </c>
      <c r="I2130" s="70" t="s">
        <v>313</v>
      </c>
    </row>
    <row r="2131" spans="2:9" ht="12.75">
      <c r="B2131" s="69" t="s">
        <v>107</v>
      </c>
      <c r="C2131" s="71">
        <f>(5/4)^1.6*E2131</f>
        <v>43.28678132149599</v>
      </c>
      <c r="D2131" s="70">
        <v>43.66</v>
      </c>
      <c r="E2131" s="70">
        <v>30.29</v>
      </c>
      <c r="F2131" s="72">
        <f>-((D2131-C2131)/D2131)</f>
        <v>-0.008548297721117955</v>
      </c>
      <c r="G2131" s="71">
        <f>C2131-D2131</f>
        <v>-0.3732186785040099</v>
      </c>
      <c r="H2131" s="70">
        <v>820</v>
      </c>
      <c r="I2131" s="70" t="s">
        <v>313</v>
      </c>
    </row>
    <row r="2132" spans="2:9" ht="12.75">
      <c r="B2132" s="69" t="s">
        <v>83</v>
      </c>
      <c r="C2132" s="71">
        <f>(5/4)^1.6*E2132</f>
        <v>38.042064007204466</v>
      </c>
      <c r="D2132" s="70">
        <v>39.42</v>
      </c>
      <c r="E2132" s="70">
        <v>26.62</v>
      </c>
      <c r="F2132" s="72">
        <f>-((D2132-C2132)/D2132)</f>
        <v>-0.03495525095879085</v>
      </c>
      <c r="G2132" s="71">
        <f>C2132-D2132</f>
        <v>-1.3779359927955355</v>
      </c>
      <c r="H2132" s="70">
        <v>820</v>
      </c>
      <c r="I2132" s="70" t="s">
        <v>313</v>
      </c>
    </row>
    <row r="2133" spans="2:9" ht="12.75">
      <c r="B2133" s="69"/>
      <c r="C2133" s="71"/>
      <c r="D2133" s="70"/>
      <c r="E2133" s="70" t="s">
        <v>14</v>
      </c>
      <c r="F2133" s="72">
        <f>AVERAGE(F2117:F2132)</f>
        <v>0.0014296371412668971</v>
      </c>
      <c r="G2133" s="71">
        <f>AVERAGE(G2117:G2132)</f>
        <v>0.08571831404649077</v>
      </c>
      <c r="H2133" s="70"/>
      <c r="I2133" s="70"/>
    </row>
    <row r="2134" spans="2:9" ht="12.75">
      <c r="B2134" s="69"/>
      <c r="C2134" s="71"/>
      <c r="D2134" s="70"/>
      <c r="E2134" s="70"/>
      <c r="F2134" s="72"/>
      <c r="G2134" s="71"/>
      <c r="H2134" s="70"/>
      <c r="I2134" s="70"/>
    </row>
    <row r="2135" spans="1:9" ht="12.75">
      <c r="A2135" s="73" t="s">
        <v>0</v>
      </c>
      <c r="B2135" s="73" t="s">
        <v>1</v>
      </c>
      <c r="C2135" s="74" t="s">
        <v>219</v>
      </c>
      <c r="D2135" s="74" t="s">
        <v>218</v>
      </c>
      <c r="E2135" s="74" t="s">
        <v>73</v>
      </c>
      <c r="F2135" s="74" t="s">
        <v>5</v>
      </c>
      <c r="G2135" s="74" t="s">
        <v>6</v>
      </c>
      <c r="H2135" s="74" t="s">
        <v>7</v>
      </c>
      <c r="I2135" s="74" t="s">
        <v>8</v>
      </c>
    </row>
    <row r="2136" spans="1:9" ht="12.75">
      <c r="A2136" s="73" t="s">
        <v>311</v>
      </c>
      <c r="B2136" s="73" t="s">
        <v>299</v>
      </c>
      <c r="C2136" s="75">
        <f>(5/4)^2*E2136</f>
        <v>63.796875</v>
      </c>
      <c r="D2136" s="74">
        <v>56.42</v>
      </c>
      <c r="E2136" s="74">
        <v>40.83</v>
      </c>
      <c r="F2136" s="76">
        <f>-((D2136-C2136)/D2136)</f>
        <v>0.13074929103154906</v>
      </c>
      <c r="G2136" s="75">
        <f>C2136-D2136</f>
        <v>7.376874999999998</v>
      </c>
      <c r="H2136" s="74">
        <v>820</v>
      </c>
      <c r="I2136" s="74" t="s">
        <v>313</v>
      </c>
    </row>
    <row r="2137" spans="1:9" ht="12.75">
      <c r="A2137" s="5"/>
      <c r="B2137" s="73" t="s">
        <v>301</v>
      </c>
      <c r="C2137" s="75">
        <f>(5/4)^2*E2137</f>
        <v>61.9375</v>
      </c>
      <c r="D2137" s="74">
        <v>54.45</v>
      </c>
      <c r="E2137" s="74">
        <v>39.64</v>
      </c>
      <c r="F2137" s="76">
        <f>-((D2137-C2137)/D2137)</f>
        <v>0.13751147842056927</v>
      </c>
      <c r="G2137" s="75">
        <f>C2137-D2137</f>
        <v>7.487499999999997</v>
      </c>
      <c r="H2137" s="74">
        <v>820</v>
      </c>
      <c r="I2137" s="74" t="s">
        <v>313</v>
      </c>
    </row>
    <row r="2138" spans="1:9" ht="12.75">
      <c r="A2138" s="5"/>
      <c r="B2138" s="73" t="s">
        <v>91</v>
      </c>
      <c r="C2138" s="75">
        <f>(5/4)^2*E2138</f>
        <v>57.49999999999999</v>
      </c>
      <c r="D2138" s="74">
        <v>50.8</v>
      </c>
      <c r="E2138" s="74">
        <v>36.8</v>
      </c>
      <c r="F2138" s="76">
        <f>-((D2138-C2138)/D2138)</f>
        <v>0.1318897637795275</v>
      </c>
      <c r="G2138" s="75">
        <f>C2138-D2138</f>
        <v>6.699999999999996</v>
      </c>
      <c r="H2138" s="74">
        <v>820</v>
      </c>
      <c r="I2138" s="74" t="s">
        <v>313</v>
      </c>
    </row>
    <row r="2139" spans="1:9" ht="12.75">
      <c r="A2139" s="5"/>
      <c r="B2139" s="73" t="s">
        <v>92</v>
      </c>
      <c r="C2139" s="75">
        <f>(5/4)^2*E2139</f>
        <v>48.0625</v>
      </c>
      <c r="D2139" s="74">
        <v>42.36</v>
      </c>
      <c r="E2139" s="74">
        <v>30.76</v>
      </c>
      <c r="F2139" s="76">
        <f>-((D2139-C2139)/D2139)</f>
        <v>0.13461992445703497</v>
      </c>
      <c r="G2139" s="75">
        <f>C2139-D2139</f>
        <v>5.702500000000001</v>
      </c>
      <c r="H2139" s="74">
        <v>820</v>
      </c>
      <c r="I2139" s="74" t="s">
        <v>313</v>
      </c>
    </row>
    <row r="2140" spans="1:9" ht="12.75">
      <c r="A2140" s="5"/>
      <c r="B2140" s="73" t="s">
        <v>93</v>
      </c>
      <c r="C2140" s="75">
        <f>(5/4)^2*E2140</f>
        <v>33.515625</v>
      </c>
      <c r="D2140" s="74">
        <v>30.16</v>
      </c>
      <c r="E2140" s="74">
        <v>21.45</v>
      </c>
      <c r="F2140" s="76">
        <f>-((D2140-C2140)/D2140)</f>
        <v>0.11126077586206896</v>
      </c>
      <c r="G2140" s="75">
        <f>C2140-D2140</f>
        <v>3.355625</v>
      </c>
      <c r="H2140" s="74">
        <v>820</v>
      </c>
      <c r="I2140" s="74" t="s">
        <v>313</v>
      </c>
    </row>
    <row r="2141" spans="1:9" ht="12.75">
      <c r="A2141" s="5"/>
      <c r="B2141" s="73" t="s">
        <v>44</v>
      </c>
      <c r="C2141" s="75">
        <f>(5/4)^2*E2141</f>
        <v>37.015625</v>
      </c>
      <c r="D2141" s="74">
        <v>33.25</v>
      </c>
      <c r="E2141" s="74">
        <v>23.69</v>
      </c>
      <c r="F2141" s="76">
        <f>-((D2141-C2141)/D2141)</f>
        <v>0.11325187969924812</v>
      </c>
      <c r="G2141" s="75">
        <f>C2141-D2141</f>
        <v>3.765625</v>
      </c>
      <c r="H2141" s="74">
        <v>820</v>
      </c>
      <c r="I2141" s="74" t="s">
        <v>313</v>
      </c>
    </row>
    <row r="2142" spans="1:9" ht="12.75">
      <c r="A2142" s="5"/>
      <c r="B2142" s="73" t="s">
        <v>96</v>
      </c>
      <c r="C2142" s="75">
        <f>(5/4)^2*E2142</f>
        <v>51.953125</v>
      </c>
      <c r="D2142" s="74">
        <v>48.49</v>
      </c>
      <c r="E2142" s="74">
        <v>33.25</v>
      </c>
      <c r="F2142" s="76">
        <f>-((D2142-C2142)/D2142)</f>
        <v>0.0714193648174881</v>
      </c>
      <c r="G2142" s="75">
        <f>C2142-D2142</f>
        <v>3.463124999999998</v>
      </c>
      <c r="H2142" s="74">
        <v>820</v>
      </c>
      <c r="I2142" s="74" t="s">
        <v>313</v>
      </c>
    </row>
    <row r="2143" spans="1:9" ht="12.75">
      <c r="A2143" s="5"/>
      <c r="B2143" s="73" t="s">
        <v>148</v>
      </c>
      <c r="C2143" s="75">
        <f>(5/4)^2*E2143</f>
        <v>60.85937500000001</v>
      </c>
      <c r="D2143" s="74">
        <v>56.95</v>
      </c>
      <c r="E2143" s="74">
        <v>38.95</v>
      </c>
      <c r="F2143" s="76">
        <f>-((D2143-C2143)/D2143)</f>
        <v>0.06864574187884116</v>
      </c>
      <c r="G2143" s="75">
        <f>C2143-D2143</f>
        <v>3.9093750000000043</v>
      </c>
      <c r="H2143" s="74">
        <v>820</v>
      </c>
      <c r="I2143" s="74" t="s">
        <v>313</v>
      </c>
    </row>
    <row r="2144" spans="1:9" ht="12.75">
      <c r="A2144" s="5"/>
      <c r="B2144" s="73" t="s">
        <v>244</v>
      </c>
      <c r="C2144" s="75">
        <f>(5/4)^2*E2144</f>
        <v>63.796875</v>
      </c>
      <c r="D2144" s="74">
        <v>58.26</v>
      </c>
      <c r="E2144" s="74">
        <v>40.83</v>
      </c>
      <c r="F2144" s="76">
        <f>-((D2144-C2144)/D2144)</f>
        <v>0.09503733264675596</v>
      </c>
      <c r="G2144" s="75">
        <f>C2144-D2144</f>
        <v>5.536875000000002</v>
      </c>
      <c r="H2144" s="74">
        <v>820</v>
      </c>
      <c r="I2144" s="74" t="s">
        <v>313</v>
      </c>
    </row>
    <row r="2145" spans="1:9" ht="12.75">
      <c r="A2145" s="5"/>
      <c r="B2145" s="73" t="s">
        <v>122</v>
      </c>
      <c r="C2145" s="75">
        <f>(5/4)^2*E2145</f>
        <v>59.25</v>
      </c>
      <c r="D2145" s="74">
        <v>55.55</v>
      </c>
      <c r="E2145" s="74">
        <v>37.92</v>
      </c>
      <c r="F2145" s="76">
        <f>-((D2145-C2145)/D2145)</f>
        <v>0.06660666066606666</v>
      </c>
      <c r="G2145" s="75">
        <f>C2145-D2145</f>
        <v>3.700000000000003</v>
      </c>
      <c r="H2145" s="74">
        <v>820</v>
      </c>
      <c r="I2145" s="74" t="s">
        <v>313</v>
      </c>
    </row>
    <row r="2146" spans="1:9" ht="12.75">
      <c r="A2146" s="5"/>
      <c r="B2146" s="73" t="s">
        <v>97</v>
      </c>
      <c r="C2146" s="75">
        <f>(5/4)^2*E2146</f>
        <v>54.53125</v>
      </c>
      <c r="D2146" s="74">
        <v>50.98</v>
      </c>
      <c r="E2146" s="74">
        <v>34.9</v>
      </c>
      <c r="F2146" s="76">
        <f>-((D2146-C2146)/D2146)</f>
        <v>0.06965967045900359</v>
      </c>
      <c r="G2146" s="75">
        <f>C2146-D2146</f>
        <v>3.551250000000003</v>
      </c>
      <c r="H2146" s="74">
        <v>820</v>
      </c>
      <c r="I2146" s="74" t="s">
        <v>313</v>
      </c>
    </row>
    <row r="2147" spans="1:9" ht="12.75">
      <c r="A2147" s="5"/>
      <c r="B2147" s="73" t="s">
        <v>98</v>
      </c>
      <c r="C2147" s="75">
        <f>(5/4)^2*E2147</f>
        <v>46.21875</v>
      </c>
      <c r="D2147" s="74">
        <v>43.71</v>
      </c>
      <c r="E2147" s="74">
        <v>29.58</v>
      </c>
      <c r="F2147" s="76">
        <f>-((D2147-C2147)/D2147)</f>
        <v>0.057395332875772115</v>
      </c>
      <c r="G2147" s="75">
        <f>C2147-D2147</f>
        <v>2.508749999999999</v>
      </c>
      <c r="H2147" s="74">
        <v>820</v>
      </c>
      <c r="I2147" s="74" t="s">
        <v>313</v>
      </c>
    </row>
    <row r="2148" spans="1:9" ht="12.75">
      <c r="A2148" s="5"/>
      <c r="B2148" s="73" t="s">
        <v>101</v>
      </c>
      <c r="C2148" s="75">
        <f>(5/4)^2*E2148</f>
        <v>62.25000000000001</v>
      </c>
      <c r="D2148" s="74">
        <v>55.48</v>
      </c>
      <c r="E2148" s="74">
        <v>39.84</v>
      </c>
      <c r="F2148" s="76">
        <f>-((D2148-C2148)/D2148)</f>
        <v>0.12202595529920711</v>
      </c>
      <c r="G2148" s="75">
        <f>C2148-D2148</f>
        <v>6.77000000000001</v>
      </c>
      <c r="H2148" s="74">
        <v>820</v>
      </c>
      <c r="I2148" s="74" t="s">
        <v>313</v>
      </c>
    </row>
    <row r="2149" spans="1:9" ht="12.75">
      <c r="A2149" s="5"/>
      <c r="B2149" s="73" t="s">
        <v>103</v>
      </c>
      <c r="C2149" s="75">
        <f>(5/4)^2*E2149</f>
        <v>42.921875</v>
      </c>
      <c r="D2149" s="74">
        <v>40.13</v>
      </c>
      <c r="E2149" s="74">
        <v>27.47</v>
      </c>
      <c r="F2149" s="76">
        <f>-((D2149-C2149)/D2149)</f>
        <v>0.06957076999750803</v>
      </c>
      <c r="G2149" s="75">
        <f>C2149-D2149</f>
        <v>2.7918749999999974</v>
      </c>
      <c r="H2149" s="74">
        <v>820</v>
      </c>
      <c r="I2149" s="74" t="s">
        <v>313</v>
      </c>
    </row>
    <row r="2150" spans="1:9" ht="12.75">
      <c r="A2150" s="5"/>
      <c r="B2150" s="73" t="s">
        <v>107</v>
      </c>
      <c r="C2150" s="75">
        <f>(5/4)^2*E2150</f>
        <v>47.328125</v>
      </c>
      <c r="D2150" s="74">
        <v>43.66</v>
      </c>
      <c r="E2150" s="74">
        <v>30.29</v>
      </c>
      <c r="F2150" s="76">
        <f>-((D2150-C2150)/D2150)</f>
        <v>0.08401568941823187</v>
      </c>
      <c r="G2150" s="75">
        <f>C2150-D2150</f>
        <v>3.6681250000000034</v>
      </c>
      <c r="H2150" s="74">
        <v>820</v>
      </c>
      <c r="I2150" s="74" t="s">
        <v>313</v>
      </c>
    </row>
    <row r="2151" spans="1:9" ht="12.75">
      <c r="A2151" s="5"/>
      <c r="B2151" s="73" t="s">
        <v>83</v>
      </c>
      <c r="C2151" s="75">
        <f>(5/4)^2*E2151</f>
        <v>41.59375</v>
      </c>
      <c r="D2151" s="74">
        <v>39.42</v>
      </c>
      <c r="E2151" s="74">
        <v>26.62</v>
      </c>
      <c r="F2151" s="76">
        <f>-((D2151-C2151)/D2151)</f>
        <v>0.05514332825976657</v>
      </c>
      <c r="G2151" s="75">
        <f>C2151-D2151</f>
        <v>2.1737499999999983</v>
      </c>
      <c r="H2151" s="74">
        <v>820</v>
      </c>
      <c r="I2151" s="74" t="s">
        <v>313</v>
      </c>
    </row>
    <row r="2152" spans="1:9" ht="12.75">
      <c r="A2152" s="5"/>
      <c r="B2152" s="73"/>
      <c r="C2152" s="75"/>
      <c r="D2152" s="74"/>
      <c r="E2152" s="74" t="s">
        <v>14</v>
      </c>
      <c r="F2152" s="76">
        <f>AVERAGE(F2136:F2151)</f>
        <v>0.09492518497303995</v>
      </c>
      <c r="G2152" s="75">
        <f>AVERAGE(G2136:G2151)</f>
        <v>4.528828125</v>
      </c>
      <c r="H2152" s="74"/>
      <c r="I2152" s="74"/>
    </row>
    <row r="2153" spans="1:9" ht="12.75">
      <c r="A2153" s="5"/>
      <c r="B2153" s="5"/>
      <c r="C2153" s="5"/>
      <c r="D2153" s="5"/>
      <c r="E2153" s="74"/>
      <c r="F2153" s="76"/>
      <c r="G2153" s="75"/>
      <c r="H2153" s="5"/>
      <c r="I2153" s="18"/>
    </row>
    <row r="2154" spans="1:9" ht="12.75">
      <c r="A2154" s="20" t="s">
        <v>0</v>
      </c>
      <c r="B2154" s="20" t="s">
        <v>1</v>
      </c>
      <c r="C2154" s="16" t="s">
        <v>251</v>
      </c>
      <c r="D2154" s="16" t="s">
        <v>73</v>
      </c>
      <c r="E2154" s="16" t="s">
        <v>3</v>
      </c>
      <c r="F2154" s="16" t="s">
        <v>5</v>
      </c>
      <c r="G2154" s="16" t="s">
        <v>6</v>
      </c>
      <c r="H2154" s="16" t="s">
        <v>7</v>
      </c>
      <c r="I2154" s="16" t="s">
        <v>8</v>
      </c>
    </row>
    <row r="2155" spans="1:9" ht="12.75">
      <c r="A2155" s="20" t="s">
        <v>315</v>
      </c>
      <c r="B2155" s="20" t="s">
        <v>316</v>
      </c>
      <c r="C2155" s="21">
        <f>(4/3)^1.53*E2155</f>
        <v>50.37755809896571</v>
      </c>
      <c r="D2155" s="16">
        <v>48.39</v>
      </c>
      <c r="E2155" s="16">
        <v>32.44</v>
      </c>
      <c r="F2155" s="22">
        <f>-((D2155-C2155)/D2155)</f>
        <v>0.041073736287780674</v>
      </c>
      <c r="G2155" s="21">
        <f>C2155-D2155</f>
        <v>1.9875580989657067</v>
      </c>
      <c r="H2155" s="16">
        <v>700</v>
      </c>
      <c r="I2155" s="16" t="s">
        <v>313</v>
      </c>
    </row>
    <row r="2156" spans="2:9" ht="12.75">
      <c r="B2156" s="20" t="s">
        <v>312</v>
      </c>
      <c r="C2156" s="21">
        <f>(4/3)^1.53*E2156</f>
        <v>43.83965675504938</v>
      </c>
      <c r="D2156" s="16">
        <v>42.6</v>
      </c>
      <c r="E2156" s="16">
        <v>28.23</v>
      </c>
      <c r="F2156" s="22">
        <f>-((D2156-C2156)/D2156)</f>
        <v>0.029099923827450264</v>
      </c>
      <c r="G2156" s="21">
        <f>C2156-D2156</f>
        <v>1.2396567550493813</v>
      </c>
      <c r="H2156" s="16">
        <v>700</v>
      </c>
      <c r="I2156" s="16" t="s">
        <v>313</v>
      </c>
    </row>
    <row r="2157" spans="2:9" ht="12.75">
      <c r="B2157" s="20" t="s">
        <v>300</v>
      </c>
      <c r="C2157" s="21">
        <f>(4/3)^1.53*E2157</f>
        <v>39.84858633845438</v>
      </c>
      <c r="D2157" s="16">
        <v>38.34</v>
      </c>
      <c r="E2157" s="16">
        <v>25.66</v>
      </c>
      <c r="F2157" s="22">
        <f>-((D2157-C2157)/D2157)</f>
        <v>0.039347583162607676</v>
      </c>
      <c r="G2157" s="21">
        <f>C2157-D2157</f>
        <v>1.5085863384543785</v>
      </c>
      <c r="H2157" s="16">
        <v>700</v>
      </c>
      <c r="I2157" s="16" t="s">
        <v>313</v>
      </c>
    </row>
    <row r="2158" spans="2:9" ht="12.75">
      <c r="B2158" s="20" t="s">
        <v>299</v>
      </c>
      <c r="C2158" s="21">
        <f>(4/3)^1.53*E2158</f>
        <v>28.853730871725734</v>
      </c>
      <c r="D2158" s="16">
        <v>28.58</v>
      </c>
      <c r="E2158" s="16">
        <v>18.58</v>
      </c>
      <c r="F2158" s="22">
        <f>-((D2158-C2158)/D2158)</f>
        <v>0.009577707198241275</v>
      </c>
      <c r="G2158" s="21">
        <f>C2158-D2158</f>
        <v>0.2737308717257356</v>
      </c>
      <c r="H2158" s="16">
        <v>700</v>
      </c>
      <c r="I2158" s="16" t="s">
        <v>313</v>
      </c>
    </row>
    <row r="2159" spans="2:9" ht="12.75">
      <c r="B2159" s="20" t="s">
        <v>317</v>
      </c>
      <c r="C2159" s="21">
        <f>(4/3)^1.53*E2159</f>
        <v>47.1163721554445</v>
      </c>
      <c r="D2159" s="16">
        <v>46.3</v>
      </c>
      <c r="E2159" s="16">
        <v>30.34</v>
      </c>
      <c r="F2159" s="22">
        <f>-((D2159-C2159)/D2159)</f>
        <v>0.017632227979362952</v>
      </c>
      <c r="G2159" s="21">
        <f>C2159-D2159</f>
        <v>0.8163721554445047</v>
      </c>
      <c r="H2159" s="16">
        <v>700</v>
      </c>
      <c r="I2159" s="16" t="s">
        <v>313</v>
      </c>
    </row>
    <row r="2160" spans="2:9" ht="12.75">
      <c r="B2160" s="20" t="s">
        <v>283</v>
      </c>
      <c r="C2160" s="21">
        <f>(4/3)^1.53*E2160</f>
        <v>43.21847848009296</v>
      </c>
      <c r="D2160" s="16">
        <v>43.62</v>
      </c>
      <c r="E2160" s="16">
        <v>27.83</v>
      </c>
      <c r="F2160" s="22">
        <f>-((D2160-C2160)/D2160)</f>
        <v>-0.009204986701215853</v>
      </c>
      <c r="G2160" s="21">
        <f>C2160-D2160</f>
        <v>-0.40152151990703544</v>
      </c>
      <c r="H2160" s="16">
        <v>700</v>
      </c>
      <c r="I2160" s="16" t="s">
        <v>313</v>
      </c>
    </row>
    <row r="2161" spans="2:9" ht="12.75">
      <c r="B2161" s="20" t="s">
        <v>288</v>
      </c>
      <c r="C2161" s="21">
        <f>(4/3)^1.53*E2161</f>
        <v>33.55915630452062</v>
      </c>
      <c r="D2161" s="16">
        <v>34.61</v>
      </c>
      <c r="E2161" s="16">
        <v>21.61</v>
      </c>
      <c r="F2161" s="22">
        <f>-((D2161-C2161)/D2161)</f>
        <v>-0.030362429802929195</v>
      </c>
      <c r="G2161" s="21">
        <f>C2161-D2161</f>
        <v>-1.0508436954793794</v>
      </c>
      <c r="H2161" s="16">
        <v>700</v>
      </c>
      <c r="I2161" s="16" t="s">
        <v>313</v>
      </c>
    </row>
    <row r="2162" spans="2:9" ht="12.75">
      <c r="B2162" s="20" t="s">
        <v>318</v>
      </c>
      <c r="C2162" s="21">
        <f>(4/3)^1.53*E2162</f>
        <v>62.11782749564206</v>
      </c>
      <c r="D2162" s="16">
        <v>59.87</v>
      </c>
      <c r="E2162" s="16">
        <v>40</v>
      </c>
      <c r="F2162" s="22">
        <f>-((D2162-C2162)/D2162)</f>
        <v>0.037545139396059184</v>
      </c>
      <c r="G2162" s="21">
        <f>C2162-D2162</f>
        <v>2.2478274956420634</v>
      </c>
      <c r="H2162" s="16">
        <v>700</v>
      </c>
      <c r="I2162" s="16" t="s">
        <v>313</v>
      </c>
    </row>
    <row r="2163" spans="2:9" ht="12.75">
      <c r="B2163" s="20" t="s">
        <v>319</v>
      </c>
      <c r="C2163" s="21">
        <f>(4/3)^1.53*E2163</f>
        <v>44.864600908727475</v>
      </c>
      <c r="D2163" s="16">
        <v>44.3</v>
      </c>
      <c r="E2163" s="16">
        <v>28.89</v>
      </c>
      <c r="F2163" s="22">
        <f>-((D2163-C2163)/D2163)</f>
        <v>0.012744941506263607</v>
      </c>
      <c r="G2163" s="21">
        <f>C2163-D2163</f>
        <v>0.5646009087274777</v>
      </c>
      <c r="H2163" s="16">
        <v>700</v>
      </c>
      <c r="I2163" s="16" t="s">
        <v>313</v>
      </c>
    </row>
    <row r="2164" spans="2:9" ht="12.75">
      <c r="B2164" s="20" t="s">
        <v>320</v>
      </c>
      <c r="C2164" s="21">
        <f>(4/3)^1.53*E2164</f>
        <v>44.585070684997085</v>
      </c>
      <c r="D2164" s="16">
        <v>43.92</v>
      </c>
      <c r="E2164" s="16">
        <v>28.71</v>
      </c>
      <c r="F2164" s="22">
        <f>-((D2164-C2164)/D2164)</f>
        <v>0.015142775159314278</v>
      </c>
      <c r="G2164" s="21">
        <f>C2164-D2164</f>
        <v>0.6650706849970831</v>
      </c>
      <c r="H2164" s="16">
        <v>700</v>
      </c>
      <c r="I2164" s="16" t="s">
        <v>313</v>
      </c>
    </row>
    <row r="2165" spans="2:9" ht="12.75">
      <c r="B2165" s="20" t="s">
        <v>284</v>
      </c>
      <c r="C2165" s="21">
        <f>(4/3)^1.53*E2165</f>
        <v>41.02882506087158</v>
      </c>
      <c r="D2165" s="16">
        <v>42.81</v>
      </c>
      <c r="E2165" s="16">
        <v>26.42</v>
      </c>
      <c r="F2165" s="22">
        <f>-((D2165-C2165)/D2165)</f>
        <v>-0.041606515746984804</v>
      </c>
      <c r="G2165" s="21">
        <f>C2165-D2165</f>
        <v>-1.7811749391284195</v>
      </c>
      <c r="H2165" s="16">
        <v>700</v>
      </c>
      <c r="I2165" s="16" t="s">
        <v>313</v>
      </c>
    </row>
    <row r="2166" spans="2:9" ht="12.75">
      <c r="B2166" s="20" t="s">
        <v>285</v>
      </c>
      <c r="C2166" s="21">
        <f>(4/3)^1.53*E2166</f>
        <v>47.613314775409634</v>
      </c>
      <c r="D2166" s="16">
        <v>48.95</v>
      </c>
      <c r="E2166" s="16">
        <v>30.66</v>
      </c>
      <c r="F2166" s="22">
        <f>-((D2166-C2166)/D2166)</f>
        <v>-0.027307154741376273</v>
      </c>
      <c r="G2166" s="21">
        <f>C2166-D2166</f>
        <v>-1.3366852245903686</v>
      </c>
      <c r="H2166" s="16">
        <v>700</v>
      </c>
      <c r="I2166" s="16" t="s">
        <v>313</v>
      </c>
    </row>
    <row r="2167" spans="2:9" ht="12.75">
      <c r="B2167" s="20" t="s">
        <v>286</v>
      </c>
      <c r="C2167" s="21">
        <f>(4/3)^1.53*E2167</f>
        <v>37.08434301489831</v>
      </c>
      <c r="D2167" s="16">
        <v>37.94</v>
      </c>
      <c r="E2167" s="16">
        <v>23.88</v>
      </c>
      <c r="F2167" s="22">
        <f>-((D2167-C2167)/D2167)</f>
        <v>-0.022552898922026592</v>
      </c>
      <c r="G2167" s="21">
        <f>C2167-D2167</f>
        <v>-0.8556569851016889</v>
      </c>
      <c r="H2167" s="16">
        <v>700</v>
      </c>
      <c r="I2167" s="16" t="s">
        <v>313</v>
      </c>
    </row>
    <row r="2168" spans="2:9" ht="12.75">
      <c r="B2168" s="20" t="s">
        <v>289</v>
      </c>
      <c r="C2168" s="21">
        <f>(4/3)^1.53*E2168</f>
        <v>34.18033457947705</v>
      </c>
      <c r="D2168" s="16">
        <v>35.14</v>
      </c>
      <c r="E2168" s="16">
        <v>22.01</v>
      </c>
      <c r="F2168" s="22">
        <f>-((D2168-C2168)/D2168)</f>
        <v>-0.027309772923248512</v>
      </c>
      <c r="G2168" s="21">
        <f>C2168-D2168</f>
        <v>-0.9596654205229527</v>
      </c>
      <c r="H2168" s="16">
        <v>700</v>
      </c>
      <c r="I2168" s="16" t="s">
        <v>313</v>
      </c>
    </row>
    <row r="2169" spans="2:9" ht="12.75">
      <c r="B2169" s="20" t="s">
        <v>308</v>
      </c>
      <c r="C2169" s="21">
        <f>(4/3)^1.53*E2169</f>
        <v>44.16577534940151</v>
      </c>
      <c r="D2169" s="16">
        <v>42.46</v>
      </c>
      <c r="E2169" s="16">
        <v>28.44</v>
      </c>
      <c r="F2169" s="22">
        <f>-((D2169-C2169)/D2169)</f>
        <v>0.040173701116380266</v>
      </c>
      <c r="G2169" s="21">
        <f>C2169-D2169</f>
        <v>1.705775349401506</v>
      </c>
      <c r="H2169" s="16">
        <v>700</v>
      </c>
      <c r="I2169" s="16" t="s">
        <v>313</v>
      </c>
    </row>
    <row r="2170" spans="2:9" ht="12.75">
      <c r="B2170" s="20" t="s">
        <v>287</v>
      </c>
      <c r="C2170" s="21">
        <f>(4/3)^1.53*E2170</f>
        <v>36.478694196815795</v>
      </c>
      <c r="D2170" s="16">
        <v>38.05</v>
      </c>
      <c r="E2170" s="16">
        <v>23.49</v>
      </c>
      <c r="F2170" s="22">
        <f>-((D2170-C2170)/D2170)</f>
        <v>-0.04129581611522214</v>
      </c>
      <c r="G2170" s="21">
        <f>C2170-D2170</f>
        <v>-1.5713058031842024</v>
      </c>
      <c r="H2170" s="16">
        <v>700</v>
      </c>
      <c r="I2170" s="16" t="s">
        <v>313</v>
      </c>
    </row>
    <row r="2171" spans="2:9" ht="12.75">
      <c r="B2171" s="20"/>
      <c r="C2171" s="21"/>
      <c r="D2171" s="16"/>
      <c r="E2171" s="16" t="s">
        <v>14</v>
      </c>
      <c r="F2171" s="22">
        <f>AVERAGE(F2155:F2170)</f>
        <v>0.002668635042528551</v>
      </c>
      <c r="G2171" s="21">
        <f>AVERAGE(G2155:G2170)</f>
        <v>0.19077031690586188</v>
      </c>
      <c r="H2171" s="16"/>
      <c r="I2171" s="16"/>
    </row>
    <row r="2172" spans="2:9" ht="12.75">
      <c r="B2172" s="20"/>
      <c r="C2172" s="21"/>
      <c r="D2172" s="16"/>
      <c r="E2172" s="16"/>
      <c r="F2172" s="22"/>
      <c r="G2172" s="21"/>
      <c r="H2172" s="16"/>
      <c r="I2172" s="16"/>
    </row>
    <row r="2173" spans="1:9" ht="12.75">
      <c r="A2173" s="23" t="s">
        <v>0</v>
      </c>
      <c r="B2173" s="23" t="s">
        <v>1</v>
      </c>
      <c r="C2173" s="18" t="s">
        <v>74</v>
      </c>
      <c r="D2173" s="18" t="s">
        <v>73</v>
      </c>
      <c r="E2173" s="18" t="s">
        <v>3</v>
      </c>
      <c r="F2173" s="18" t="s">
        <v>5</v>
      </c>
      <c r="G2173" s="18" t="s">
        <v>6</v>
      </c>
      <c r="H2173" s="18" t="s">
        <v>7</v>
      </c>
      <c r="I2173" s="18" t="s">
        <v>8</v>
      </c>
    </row>
    <row r="2174" spans="1:9" ht="12.75">
      <c r="A2174" s="23" t="s">
        <v>315</v>
      </c>
      <c r="B2174" s="23" t="s">
        <v>316</v>
      </c>
      <c r="C2174" s="24">
        <f>(4/3)^2*E2174</f>
        <v>57.6711111111111</v>
      </c>
      <c r="D2174" s="18">
        <v>48.39</v>
      </c>
      <c r="E2174" s="18">
        <v>32.44</v>
      </c>
      <c r="F2174" s="25">
        <f>-((D2174-C2174)/D2174)</f>
        <v>0.19179812174232488</v>
      </c>
      <c r="G2174" s="24">
        <f>C2174-D2174</f>
        <v>9.281111111111102</v>
      </c>
      <c r="H2174" s="18">
        <v>700</v>
      </c>
      <c r="I2174" s="18" t="s">
        <v>313</v>
      </c>
    </row>
    <row r="2175" spans="1:9" ht="12.75">
      <c r="A2175" s="5"/>
      <c r="B2175" s="23" t="s">
        <v>312</v>
      </c>
      <c r="C2175" s="24">
        <f>(4/3)^2*E2175</f>
        <v>50.18666666666667</v>
      </c>
      <c r="D2175" s="18">
        <v>42.6</v>
      </c>
      <c r="E2175" s="18">
        <v>28.23</v>
      </c>
      <c r="F2175" s="25">
        <f>-((D2175-C2175)/D2175)</f>
        <v>0.17809076682316116</v>
      </c>
      <c r="G2175" s="24">
        <f>C2175-D2175</f>
        <v>7.586666666666666</v>
      </c>
      <c r="H2175" s="18">
        <v>700</v>
      </c>
      <c r="I2175" s="18" t="s">
        <v>313</v>
      </c>
    </row>
    <row r="2176" spans="1:9" ht="12.75">
      <c r="A2176" s="5"/>
      <c r="B2176" s="23" t="s">
        <v>300</v>
      </c>
      <c r="C2176" s="24">
        <f>(4/3)^2*E2176</f>
        <v>45.617777777777775</v>
      </c>
      <c r="D2176" s="18">
        <v>38.34</v>
      </c>
      <c r="E2176" s="18">
        <v>25.66</v>
      </c>
      <c r="F2176" s="25">
        <f>-((D2176-C2176)/D2176)</f>
        <v>0.18982205993160592</v>
      </c>
      <c r="G2176" s="24">
        <f>C2176-D2176</f>
        <v>7.2777777777777715</v>
      </c>
      <c r="H2176" s="18">
        <v>700</v>
      </c>
      <c r="I2176" s="18" t="s">
        <v>313</v>
      </c>
    </row>
    <row r="2177" spans="1:9" ht="12.75">
      <c r="A2177" s="5"/>
      <c r="B2177" s="23" t="s">
        <v>299</v>
      </c>
      <c r="C2177" s="24">
        <f>(4/3)^2*E2177</f>
        <v>33.03111111111111</v>
      </c>
      <c r="D2177" s="18">
        <v>28.58</v>
      </c>
      <c r="E2177" s="18">
        <v>18.58</v>
      </c>
      <c r="F2177" s="25">
        <f>-((D2177-C2177)/D2177)</f>
        <v>0.15574216623901718</v>
      </c>
      <c r="G2177" s="24">
        <f>C2177-D2177</f>
        <v>4.451111111111111</v>
      </c>
      <c r="H2177" s="18">
        <v>700</v>
      </c>
      <c r="I2177" s="18" t="s">
        <v>313</v>
      </c>
    </row>
    <row r="2178" spans="1:9" ht="12.75">
      <c r="A2178" s="5"/>
      <c r="B2178" s="23" t="s">
        <v>317</v>
      </c>
      <c r="C2178" s="24">
        <f>(4/3)^2*E2178</f>
        <v>53.937777777777775</v>
      </c>
      <c r="D2178" s="18">
        <v>46.3</v>
      </c>
      <c r="E2178" s="18">
        <v>30.34</v>
      </c>
      <c r="F2178" s="25">
        <f>-((D2178-C2178)/D2178)</f>
        <v>0.16496280297576196</v>
      </c>
      <c r="G2178" s="24">
        <f>C2178-D2178</f>
        <v>7.637777777777778</v>
      </c>
      <c r="H2178" s="18">
        <v>700</v>
      </c>
      <c r="I2178" s="18" t="s">
        <v>313</v>
      </c>
    </row>
    <row r="2179" spans="1:9" ht="12.75">
      <c r="A2179" s="5"/>
      <c r="B2179" s="23" t="s">
        <v>283</v>
      </c>
      <c r="C2179" s="24">
        <f>(4/3)^2*E2179</f>
        <v>49.47555555555555</v>
      </c>
      <c r="D2179" s="18">
        <v>43.62</v>
      </c>
      <c r="E2179" s="18">
        <v>27.83</v>
      </c>
      <c r="F2179" s="25">
        <f>-((D2179-C2179)/D2179)</f>
        <v>0.13424015487289212</v>
      </c>
      <c r="G2179" s="24">
        <f>C2179-D2179</f>
        <v>5.855555555555554</v>
      </c>
      <c r="H2179" s="18">
        <v>700</v>
      </c>
      <c r="I2179" s="18" t="s">
        <v>313</v>
      </c>
    </row>
    <row r="2180" spans="1:9" ht="12.75">
      <c r="A2180" s="5"/>
      <c r="B2180" s="23" t="s">
        <v>288</v>
      </c>
      <c r="C2180" s="24">
        <f>(4/3)^2*E2180</f>
        <v>38.41777777777777</v>
      </c>
      <c r="D2180" s="18">
        <v>34.61</v>
      </c>
      <c r="E2180" s="18">
        <v>21.61</v>
      </c>
      <c r="F2180" s="25">
        <f>-((D2180-C2180)/D2180)</f>
        <v>0.11001958329320348</v>
      </c>
      <c r="G2180" s="24">
        <f>C2180-D2180</f>
        <v>3.8077777777777726</v>
      </c>
      <c r="H2180" s="18">
        <v>700</v>
      </c>
      <c r="I2180" s="18" t="s">
        <v>313</v>
      </c>
    </row>
    <row r="2181" spans="1:9" ht="12.75">
      <c r="A2181" s="5"/>
      <c r="B2181" s="23" t="s">
        <v>318</v>
      </c>
      <c r="C2181" s="24">
        <f>(4/3)^2*E2181</f>
        <v>71.11111111111111</v>
      </c>
      <c r="D2181" s="18">
        <v>59.87</v>
      </c>
      <c r="E2181" s="18">
        <v>40</v>
      </c>
      <c r="F2181" s="25">
        <f>-((D2181-C2181)/D2181)</f>
        <v>0.1877586622868067</v>
      </c>
      <c r="G2181" s="24">
        <f>C2181-D2181</f>
        <v>11.241111111111117</v>
      </c>
      <c r="H2181" s="18">
        <v>700</v>
      </c>
      <c r="I2181" s="18" t="s">
        <v>313</v>
      </c>
    </row>
    <row r="2182" spans="1:9" ht="12.75">
      <c r="A2182" s="5"/>
      <c r="B2182" s="23" t="s">
        <v>319</v>
      </c>
      <c r="C2182" s="24">
        <f>(4/3)^2*E2182</f>
        <v>51.36</v>
      </c>
      <c r="D2182" s="18">
        <v>44.3</v>
      </c>
      <c r="E2182" s="18">
        <v>28.89</v>
      </c>
      <c r="F2182" s="25">
        <f>-((D2182-C2182)/D2182)</f>
        <v>0.15936794582392783</v>
      </c>
      <c r="G2182" s="24">
        <f>C2182-D2182</f>
        <v>7.060000000000002</v>
      </c>
      <c r="H2182" s="18">
        <v>700</v>
      </c>
      <c r="I2182" s="18" t="s">
        <v>313</v>
      </c>
    </row>
    <row r="2183" spans="1:9" ht="12.75">
      <c r="A2183" s="5"/>
      <c r="B2183" s="23" t="s">
        <v>320</v>
      </c>
      <c r="C2183" s="24">
        <f>(4/3)^2*E2183</f>
        <v>51.04</v>
      </c>
      <c r="D2183" s="18">
        <v>43.92</v>
      </c>
      <c r="E2183" s="18">
        <v>28.71</v>
      </c>
      <c r="F2183" s="25">
        <f>-((D2183-C2183)/D2183)</f>
        <v>0.16211293260473583</v>
      </c>
      <c r="G2183" s="24">
        <f>C2183-D2183</f>
        <v>7.119999999999997</v>
      </c>
      <c r="H2183" s="18">
        <v>700</v>
      </c>
      <c r="I2183" s="18" t="s">
        <v>313</v>
      </c>
    </row>
    <row r="2184" spans="1:9" ht="12.75">
      <c r="A2184" s="5"/>
      <c r="B2184" s="23" t="s">
        <v>284</v>
      </c>
      <c r="C2184" s="24">
        <f>(4/3)^2*E2184</f>
        <v>46.96888888888889</v>
      </c>
      <c r="D2184" s="18">
        <v>42.81</v>
      </c>
      <c r="E2184" s="18">
        <v>26.42</v>
      </c>
      <c r="F2184" s="25">
        <f>-((D2184-C2184)/D2184)</f>
        <v>0.09714760310415531</v>
      </c>
      <c r="G2184" s="24">
        <f>C2184-D2184</f>
        <v>4.158888888888889</v>
      </c>
      <c r="H2184" s="18">
        <v>700</v>
      </c>
      <c r="I2184" s="18" t="s">
        <v>313</v>
      </c>
    </row>
    <row r="2185" spans="1:9" ht="12.75">
      <c r="A2185" s="5"/>
      <c r="B2185" s="23" t="s">
        <v>285</v>
      </c>
      <c r="C2185" s="24">
        <f>(4/3)^2*E2185</f>
        <v>54.50666666666666</v>
      </c>
      <c r="D2185" s="18">
        <v>48.95</v>
      </c>
      <c r="E2185" s="18">
        <v>30.66</v>
      </c>
      <c r="F2185" s="25">
        <f>-((D2185-C2185)/D2185)</f>
        <v>0.11351719441607064</v>
      </c>
      <c r="G2185" s="24">
        <f>C2185-D2185</f>
        <v>5.556666666666658</v>
      </c>
      <c r="H2185" s="18">
        <v>700</v>
      </c>
      <c r="I2185" s="18" t="s">
        <v>313</v>
      </c>
    </row>
    <row r="2186" spans="1:9" ht="12.75">
      <c r="A2186" s="5"/>
      <c r="B2186" s="23" t="s">
        <v>286</v>
      </c>
      <c r="C2186" s="24">
        <f>(4/3)^2*E2186</f>
        <v>42.453333333333326</v>
      </c>
      <c r="D2186" s="18">
        <v>37.94</v>
      </c>
      <c r="E2186" s="18">
        <v>23.88</v>
      </c>
      <c r="F2186" s="25">
        <f>-((D2186-C2186)/D2186)</f>
        <v>0.11895976102618157</v>
      </c>
      <c r="G2186" s="24">
        <f>C2186-D2186</f>
        <v>4.513333333333328</v>
      </c>
      <c r="H2186" s="18">
        <v>700</v>
      </c>
      <c r="I2186" s="18" t="s">
        <v>313</v>
      </c>
    </row>
    <row r="2187" spans="1:9" ht="12.75">
      <c r="A2187" s="5"/>
      <c r="B2187" s="23" t="s">
        <v>289</v>
      </c>
      <c r="C2187" s="24">
        <f>(4/3)^2*E2187</f>
        <v>39.12888888888889</v>
      </c>
      <c r="D2187" s="18">
        <v>35.14</v>
      </c>
      <c r="E2187" s="18">
        <v>22.01</v>
      </c>
      <c r="F2187" s="25">
        <f>-((D2187-C2187)/D2187)</f>
        <v>0.11351419717953577</v>
      </c>
      <c r="G2187" s="24">
        <f>C2187-D2187</f>
        <v>3.988888888888887</v>
      </c>
      <c r="H2187" s="18">
        <v>700</v>
      </c>
      <c r="I2187" s="18" t="s">
        <v>313</v>
      </c>
    </row>
    <row r="2188" spans="1:9" ht="12.75">
      <c r="A2188" s="5"/>
      <c r="B2188" s="23" t="s">
        <v>308</v>
      </c>
      <c r="C2188" s="24">
        <f>(4/3)^2*E2188</f>
        <v>50.56</v>
      </c>
      <c r="D2188" s="18">
        <v>42.46</v>
      </c>
      <c r="E2188" s="18">
        <v>28.44</v>
      </c>
      <c r="F2188" s="25">
        <f>-((D2188-C2188)/D2188)</f>
        <v>0.1907677814413566</v>
      </c>
      <c r="G2188" s="24">
        <f>C2188-D2188</f>
        <v>8.100000000000001</v>
      </c>
      <c r="H2188" s="18">
        <v>700</v>
      </c>
      <c r="I2188" s="18" t="s">
        <v>313</v>
      </c>
    </row>
    <row r="2189" spans="1:9" ht="12.75">
      <c r="A2189" s="5"/>
      <c r="B2189" s="23" t="s">
        <v>287</v>
      </c>
      <c r="C2189" s="24">
        <f>(4/3)^2*E2189</f>
        <v>41.76</v>
      </c>
      <c r="D2189" s="18">
        <v>38.05</v>
      </c>
      <c r="E2189" s="18">
        <v>23.49</v>
      </c>
      <c r="F2189" s="25">
        <f>-((D2189-C2189)/D2189)</f>
        <v>0.09750328515111698</v>
      </c>
      <c r="G2189" s="24">
        <f>C2189-D2189</f>
        <v>3.710000000000001</v>
      </c>
      <c r="H2189" s="18">
        <v>700</v>
      </c>
      <c r="I2189" s="18" t="s">
        <v>313</v>
      </c>
    </row>
    <row r="2190" spans="1:9" ht="12.75">
      <c r="A2190" s="5"/>
      <c r="B2190" s="23"/>
      <c r="C2190" s="24"/>
      <c r="D2190" s="18"/>
      <c r="E2190" s="18" t="s">
        <v>14</v>
      </c>
      <c r="F2190" s="25">
        <f>AVERAGE(F2174:F2189)</f>
        <v>0.1478328136819909</v>
      </c>
      <c r="G2190" s="24">
        <f>AVERAGE(G2174:G2189)</f>
        <v>6.334166666666665</v>
      </c>
      <c r="H2190" s="18"/>
      <c r="I2190" s="18"/>
    </row>
    <row r="2191" ht="12.75">
      <c r="I2191" s="18"/>
    </row>
    <row r="2192" spans="1:9" ht="12.75">
      <c r="A2192" s="69" t="s">
        <v>0</v>
      </c>
      <c r="B2192" s="69" t="s">
        <v>1</v>
      </c>
      <c r="C2192" s="70" t="s">
        <v>321</v>
      </c>
      <c r="D2192" s="70" t="s">
        <v>218</v>
      </c>
      <c r="E2192" s="70" t="s">
        <v>73</v>
      </c>
      <c r="F2192" s="70" t="s">
        <v>5</v>
      </c>
      <c r="G2192" s="70" t="s">
        <v>6</v>
      </c>
      <c r="H2192" s="70" t="s">
        <v>7</v>
      </c>
      <c r="I2192" s="70" t="s">
        <v>8</v>
      </c>
    </row>
    <row r="2193" spans="1:9" ht="12.75">
      <c r="A2193" s="69" t="s">
        <v>315</v>
      </c>
      <c r="B2193" s="69" t="s">
        <v>300</v>
      </c>
      <c r="C2193" s="71">
        <f>(5/4)^1.59*E2193</f>
        <v>54.668735568603445</v>
      </c>
      <c r="D2193" s="70">
        <v>52.8</v>
      </c>
      <c r="E2193" s="70">
        <v>38.34</v>
      </c>
      <c r="F2193" s="72">
        <f>-((D2193-C2193)/D2193)</f>
        <v>0.03539271910233803</v>
      </c>
      <c r="G2193" s="71">
        <f>C2193-D2193</f>
        <v>1.868735568603448</v>
      </c>
      <c r="H2193" s="70">
        <v>700</v>
      </c>
      <c r="I2193" s="70" t="s">
        <v>313</v>
      </c>
    </row>
    <row r="2194" spans="2:9" ht="12.75">
      <c r="B2194" s="69" t="s">
        <v>299</v>
      </c>
      <c r="C2194" s="71">
        <f>(5/4)^1.59*E2194</f>
        <v>40.75202041081602</v>
      </c>
      <c r="D2194" s="70">
        <v>39.26</v>
      </c>
      <c r="E2194" s="70">
        <v>28.58</v>
      </c>
      <c r="F2194" s="72">
        <f>-((D2194-C2194)/D2194)</f>
        <v>0.03800357643443772</v>
      </c>
      <c r="G2194" s="71">
        <f>C2194-D2194</f>
        <v>1.4920204108160249</v>
      </c>
      <c r="H2194" s="70">
        <v>700</v>
      </c>
      <c r="I2194" s="70" t="s">
        <v>313</v>
      </c>
    </row>
    <row r="2195" spans="2:9" ht="12.75">
      <c r="B2195" s="69" t="s">
        <v>301</v>
      </c>
      <c r="C2195" s="71">
        <f>(5/4)^1.59*E2195</f>
        <v>39.668341771480115</v>
      </c>
      <c r="D2195" s="70">
        <v>38.53</v>
      </c>
      <c r="E2195" s="70">
        <v>27.82</v>
      </c>
      <c r="F2195" s="72">
        <f>-((D2195-C2195)/D2195)</f>
        <v>0.029544297209450142</v>
      </c>
      <c r="G2195" s="71">
        <f>C2195-D2195</f>
        <v>1.138341771480114</v>
      </c>
      <c r="H2195" s="70">
        <v>700</v>
      </c>
      <c r="I2195" s="70" t="s">
        <v>313</v>
      </c>
    </row>
    <row r="2196" spans="2:9" ht="12.75">
      <c r="B2196" s="69" t="s">
        <v>91</v>
      </c>
      <c r="C2196" s="71">
        <f>(5/4)^1.59*E2196</f>
        <v>36.54563621865692</v>
      </c>
      <c r="D2196" s="70">
        <v>35.51</v>
      </c>
      <c r="E2196" s="70">
        <v>25.63</v>
      </c>
      <c r="F2196" s="72">
        <f>-((D2196-C2196)/D2196)</f>
        <v>0.02916463583939506</v>
      </c>
      <c r="G2196" s="71">
        <f>C2196-D2196</f>
        <v>1.0356362186569186</v>
      </c>
      <c r="H2196" s="70">
        <v>700</v>
      </c>
      <c r="I2196" s="70" t="s">
        <v>313</v>
      </c>
    </row>
    <row r="2197" spans="2:9" ht="12.75">
      <c r="B2197" s="69" t="s">
        <v>92</v>
      </c>
      <c r="C2197" s="71">
        <f>(5/4)^1.59*E2197</f>
        <v>30.086341171036324</v>
      </c>
      <c r="D2197" s="70">
        <v>29.35</v>
      </c>
      <c r="E2197" s="70">
        <v>21.1</v>
      </c>
      <c r="F2197" s="72">
        <f>-((D2197-C2197)/D2197)</f>
        <v>0.025088285214184748</v>
      </c>
      <c r="G2197" s="71">
        <f>C2197-D2197</f>
        <v>0.7363411710363224</v>
      </c>
      <c r="H2197" s="70">
        <v>700</v>
      </c>
      <c r="I2197" s="70" t="s">
        <v>313</v>
      </c>
    </row>
    <row r="2198" spans="2:9" ht="12.75">
      <c r="B2198" s="69" t="s">
        <v>289</v>
      </c>
      <c r="C2198" s="71">
        <f>(5/4)^1.59*E2198</f>
        <v>50.10587813982068</v>
      </c>
      <c r="D2198" s="70">
        <v>50.68</v>
      </c>
      <c r="E2198" s="70">
        <v>35.14</v>
      </c>
      <c r="F2198" s="72">
        <f>-((D2198-C2198)/D2198)</f>
        <v>-0.011328371353183068</v>
      </c>
      <c r="G2198" s="71">
        <f>C2198-D2198</f>
        <v>-0.5741218601793179</v>
      </c>
      <c r="H2198" s="70">
        <v>700</v>
      </c>
      <c r="I2198" s="70" t="s">
        <v>313</v>
      </c>
    </row>
    <row r="2199" spans="2:9" ht="12.75">
      <c r="B2199" s="69" t="s">
        <v>96</v>
      </c>
      <c r="C2199" s="71">
        <f>(5/4)^1.59*E2199</f>
        <v>32.01129664880405</v>
      </c>
      <c r="D2199" s="70">
        <v>32.65</v>
      </c>
      <c r="E2199" s="70">
        <v>22.45</v>
      </c>
      <c r="F2199" s="72">
        <f>-((D2199-C2199)/D2199)</f>
        <v>-0.019562124079508428</v>
      </c>
      <c r="G2199" s="71">
        <f>C2199-D2199</f>
        <v>-0.6387033511959501</v>
      </c>
      <c r="H2199" s="70">
        <v>700</v>
      </c>
      <c r="I2199" s="70" t="s">
        <v>313</v>
      </c>
    </row>
    <row r="2200" spans="2:9" ht="12.75">
      <c r="B2200" s="69" t="s">
        <v>242</v>
      </c>
      <c r="C2200" s="71">
        <f>(5/4)^1.59*E2200</f>
        <v>45.485984993178135</v>
      </c>
      <c r="D2200" s="70">
        <v>45.21</v>
      </c>
      <c r="E2200" s="70">
        <v>31.9</v>
      </c>
      <c r="F2200" s="72">
        <f>-((D2200-C2200)/D2200)</f>
        <v>0.006104512125152281</v>
      </c>
      <c r="G2200" s="71">
        <f>C2200-D2200</f>
        <v>0.27598499317813463</v>
      </c>
      <c r="H2200" s="70">
        <v>700</v>
      </c>
      <c r="I2200" s="70" t="s">
        <v>313</v>
      </c>
    </row>
    <row r="2201" spans="2:9" ht="12.75">
      <c r="B2201" s="69" t="s">
        <v>148</v>
      </c>
      <c r="C2201" s="71">
        <f>(5/4)^1.59*E2201</f>
        <v>37.18728804457949</v>
      </c>
      <c r="D2201" s="70">
        <v>38.56</v>
      </c>
      <c r="E2201" s="70">
        <v>26.08</v>
      </c>
      <c r="F2201" s="72">
        <f>-((D2201-C2201)/D2201)</f>
        <v>-0.03559937643725397</v>
      </c>
      <c r="G2201" s="71">
        <f>C2201-D2201</f>
        <v>-1.3727119554205132</v>
      </c>
      <c r="H2201" s="70">
        <v>700</v>
      </c>
      <c r="I2201" s="70" t="s">
        <v>313</v>
      </c>
    </row>
    <row r="2202" spans="2:9" ht="12.75">
      <c r="B2202" s="69" t="s">
        <v>243</v>
      </c>
      <c r="C2202" s="71">
        <f>(5/4)^1.59*E2202</f>
        <v>45.97078859498631</v>
      </c>
      <c r="D2202" s="70">
        <v>45.73</v>
      </c>
      <c r="E2202" s="70">
        <v>32.24</v>
      </c>
      <c r="F2202" s="72">
        <f>-((D2202-C2202)/D2202)</f>
        <v>0.005265440520146794</v>
      </c>
      <c r="G2202" s="71">
        <f>C2202-D2202</f>
        <v>0.2407885949863129</v>
      </c>
      <c r="H2202" s="70">
        <v>700</v>
      </c>
      <c r="I2202" s="70" t="s">
        <v>313</v>
      </c>
    </row>
    <row r="2203" spans="2:9" ht="12.75">
      <c r="B2203" s="69" t="s">
        <v>244</v>
      </c>
      <c r="C2203" s="71">
        <f>(5/4)^1.59*E2203</f>
        <v>39.59704712415539</v>
      </c>
      <c r="D2203" s="70">
        <v>40.54</v>
      </c>
      <c r="E2203" s="70">
        <v>27.77</v>
      </c>
      <c r="F2203" s="72">
        <f>-((D2203-C2203)/D2203)</f>
        <v>-0.02325981440169243</v>
      </c>
      <c r="G2203" s="71">
        <f>C2203-D2203</f>
        <v>-0.9429528758446111</v>
      </c>
      <c r="H2203" s="70">
        <v>700</v>
      </c>
      <c r="I2203" s="70" t="s">
        <v>313</v>
      </c>
    </row>
    <row r="2204" spans="2:9" ht="12.75">
      <c r="B2204" s="69" t="s">
        <v>122</v>
      </c>
      <c r="C2204" s="71">
        <f>(5/4)^1.59*E2204</f>
        <v>35.97527904005907</v>
      </c>
      <c r="D2204" s="70">
        <v>37.54</v>
      </c>
      <c r="E2204" s="70">
        <v>25.23</v>
      </c>
      <c r="F2204" s="72">
        <f>-((D2204-C2204)/D2204)</f>
        <v>-0.04168143207088247</v>
      </c>
      <c r="G2204" s="71">
        <f>C2204-D2204</f>
        <v>-1.564720959940928</v>
      </c>
      <c r="H2204" s="70">
        <v>700</v>
      </c>
      <c r="I2204" s="70" t="s">
        <v>313</v>
      </c>
    </row>
    <row r="2205" spans="2:9" ht="12.75">
      <c r="B2205" s="69" t="s">
        <v>97</v>
      </c>
      <c r="C2205" s="71">
        <f>(5/4)^1.59*E2205</f>
        <v>33.636814607807906</v>
      </c>
      <c r="D2205" s="70">
        <v>34.27</v>
      </c>
      <c r="E2205" s="70">
        <v>23.59</v>
      </c>
      <c r="F2205" s="72">
        <f>-((D2205-C2205)/D2205)</f>
        <v>-0.018476375611091236</v>
      </c>
      <c r="G2205" s="71">
        <f>C2205-D2205</f>
        <v>-0.6331853921920967</v>
      </c>
      <c r="H2205" s="70">
        <v>700</v>
      </c>
      <c r="I2205" s="70" t="s">
        <v>313</v>
      </c>
    </row>
    <row r="2206" spans="2:9" ht="12.75">
      <c r="B2206" s="69" t="s">
        <v>98</v>
      </c>
      <c r="C2206" s="71">
        <f>(5/4)^1.59*E2206</f>
        <v>28.446564282567515</v>
      </c>
      <c r="D2206" s="70">
        <v>28.86</v>
      </c>
      <c r="E2206" s="70">
        <v>19.95</v>
      </c>
      <c r="F2206" s="72">
        <f>-((D2206-C2206)/D2206)</f>
        <v>-0.014325561934597532</v>
      </c>
      <c r="G2206" s="71">
        <f>C2206-D2206</f>
        <v>-0.41343571743248475</v>
      </c>
      <c r="H2206" s="70">
        <v>700</v>
      </c>
      <c r="I2206" s="70" t="s">
        <v>313</v>
      </c>
    </row>
    <row r="2207" spans="2:9" ht="12.75">
      <c r="B2207" s="69" t="s">
        <v>101</v>
      </c>
      <c r="C2207" s="71">
        <f>(5/4)^1.59*E2207</f>
        <v>39.36890425271625</v>
      </c>
      <c r="D2207" s="70">
        <v>38.66</v>
      </c>
      <c r="E2207" s="70">
        <v>27.61</v>
      </c>
      <c r="F2207" s="72">
        <f>-((D2207-C2207)/D2207)</f>
        <v>0.018336892206835282</v>
      </c>
      <c r="G2207" s="71">
        <f>C2207-D2207</f>
        <v>0.7089042527162519</v>
      </c>
      <c r="H2207" s="70">
        <v>700</v>
      </c>
      <c r="I2207" s="70" t="s">
        <v>313</v>
      </c>
    </row>
    <row r="2208" spans="2:9" ht="12.75">
      <c r="B2208" s="69"/>
      <c r="C2208" s="71"/>
      <c r="D2208" s="70"/>
      <c r="E2208" s="70" t="s">
        <v>14</v>
      </c>
      <c r="F2208" s="72">
        <f>AVERAGE(F2193:F2207)</f>
        <v>0.0015111535175820624</v>
      </c>
      <c r="G2208" s="71">
        <f>AVERAGE(G2193:G2207)</f>
        <v>0.09046139128450838</v>
      </c>
      <c r="H2208" s="70"/>
      <c r="I2208" s="70"/>
    </row>
    <row r="2209" spans="2:9" ht="12.75">
      <c r="B2209" s="69"/>
      <c r="C2209" s="71"/>
      <c r="D2209" s="70"/>
      <c r="E2209" s="70"/>
      <c r="F2209" s="72"/>
      <c r="G2209" s="71"/>
      <c r="H2209" s="70"/>
      <c r="I2209" s="70"/>
    </row>
    <row r="2210" spans="1:9" ht="12.75">
      <c r="A2210" s="73" t="s">
        <v>0</v>
      </c>
      <c r="B2210" s="73" t="s">
        <v>1</v>
      </c>
      <c r="C2210" s="74" t="s">
        <v>219</v>
      </c>
      <c r="D2210" s="74" t="s">
        <v>218</v>
      </c>
      <c r="E2210" s="74" t="s">
        <v>73</v>
      </c>
      <c r="F2210" s="74" t="s">
        <v>5</v>
      </c>
      <c r="G2210" s="74" t="s">
        <v>6</v>
      </c>
      <c r="H2210" s="74" t="s">
        <v>7</v>
      </c>
      <c r="I2210" s="74" t="s">
        <v>8</v>
      </c>
    </row>
    <row r="2211" spans="1:9" ht="12.75">
      <c r="A2211" s="73" t="s">
        <v>315</v>
      </c>
      <c r="B2211" s="73" t="s">
        <v>300</v>
      </c>
      <c r="C2211" s="75">
        <f>(5/4)^2*E2211</f>
        <v>59.90625000000001</v>
      </c>
      <c r="D2211" s="74">
        <v>52.8</v>
      </c>
      <c r="E2211" s="74">
        <v>38.34</v>
      </c>
      <c r="F2211" s="76">
        <f>-((D2211-C2211)/D2211)</f>
        <v>0.13458806818181837</v>
      </c>
      <c r="G2211" s="75">
        <f>C2211-D2211</f>
        <v>7.10625000000001</v>
      </c>
      <c r="H2211" s="74">
        <v>700</v>
      </c>
      <c r="I2211" s="74" t="s">
        <v>313</v>
      </c>
    </row>
    <row r="2212" spans="1:9" ht="12.75">
      <c r="A2212" s="5"/>
      <c r="B2212" s="73" t="s">
        <v>299</v>
      </c>
      <c r="C2212" s="75">
        <f>(5/4)^2*E2212</f>
        <v>44.65625</v>
      </c>
      <c r="D2212" s="74">
        <v>39.26</v>
      </c>
      <c r="E2212" s="74">
        <v>28.58</v>
      </c>
      <c r="F2212" s="76">
        <f>-((D2212-C2212)/D2212)</f>
        <v>0.13744905756495165</v>
      </c>
      <c r="G2212" s="75">
        <f>C2212-D2212</f>
        <v>5.396250000000002</v>
      </c>
      <c r="H2212" s="74">
        <v>700</v>
      </c>
      <c r="I2212" s="74" t="s">
        <v>313</v>
      </c>
    </row>
    <row r="2213" spans="1:9" ht="12.75">
      <c r="A2213" s="5"/>
      <c r="B2213" s="73" t="s">
        <v>301</v>
      </c>
      <c r="C2213" s="75">
        <f>(5/4)^2*E2213</f>
        <v>43.46875</v>
      </c>
      <c r="D2213" s="74">
        <v>38.53</v>
      </c>
      <c r="E2213" s="74">
        <v>27.82</v>
      </c>
      <c r="F2213" s="76">
        <f>-((D2213-C2213)/D2213)</f>
        <v>0.12817934077342327</v>
      </c>
      <c r="G2213" s="75">
        <f>C2213-D2213</f>
        <v>4.938749999999999</v>
      </c>
      <c r="H2213" s="74">
        <v>700</v>
      </c>
      <c r="I2213" s="74" t="s">
        <v>313</v>
      </c>
    </row>
    <row r="2214" spans="1:9" ht="12.75">
      <c r="A2214" s="5"/>
      <c r="B2214" s="73" t="s">
        <v>91</v>
      </c>
      <c r="C2214" s="75">
        <f>(5/4)^2*E2214</f>
        <v>40.046875</v>
      </c>
      <c r="D2214" s="74">
        <v>35.51</v>
      </c>
      <c r="E2214" s="74">
        <v>25.63</v>
      </c>
      <c r="F2214" s="76">
        <f>-((D2214-C2214)/D2214)</f>
        <v>0.1277633061109547</v>
      </c>
      <c r="G2214" s="75">
        <f>C2214-D2214</f>
        <v>4.536875000000002</v>
      </c>
      <c r="H2214" s="74">
        <v>700</v>
      </c>
      <c r="I2214" s="74" t="s">
        <v>313</v>
      </c>
    </row>
    <row r="2215" spans="1:9" ht="12.75">
      <c r="A2215" s="5"/>
      <c r="B2215" s="73" t="s">
        <v>92</v>
      </c>
      <c r="C2215" s="75">
        <f>(5/4)^2*E2215</f>
        <v>32.96875</v>
      </c>
      <c r="D2215" s="74">
        <v>29.35</v>
      </c>
      <c r="E2215" s="74">
        <v>21.1</v>
      </c>
      <c r="F2215" s="76">
        <f>-((D2215-C2215)/D2215)</f>
        <v>0.12329642248722311</v>
      </c>
      <c r="G2215" s="75">
        <f>C2215-D2215</f>
        <v>3.6187499999999986</v>
      </c>
      <c r="H2215" s="74">
        <v>700</v>
      </c>
      <c r="I2215" s="74" t="s">
        <v>313</v>
      </c>
    </row>
    <row r="2216" spans="1:9" ht="12.75">
      <c r="A2216" s="5"/>
      <c r="B2216" s="73" t="s">
        <v>289</v>
      </c>
      <c r="C2216" s="75">
        <f>(5/4)^2*E2216</f>
        <v>54.90625</v>
      </c>
      <c r="D2216" s="74">
        <v>50.68</v>
      </c>
      <c r="E2216" s="74">
        <v>35.14</v>
      </c>
      <c r="F2216" s="76">
        <f>-((D2216-C2216)/D2216)</f>
        <v>0.08339088397790057</v>
      </c>
      <c r="G2216" s="75">
        <f>C2216-D2216</f>
        <v>4.22625</v>
      </c>
      <c r="H2216" s="74">
        <v>700</v>
      </c>
      <c r="I2216" s="74" t="s">
        <v>313</v>
      </c>
    </row>
    <row r="2217" spans="1:9" ht="12.75">
      <c r="A2217" s="5"/>
      <c r="B2217" s="73" t="s">
        <v>96</v>
      </c>
      <c r="C2217" s="75">
        <f>(5/4)^2*E2217</f>
        <v>35.078125</v>
      </c>
      <c r="D2217" s="74">
        <v>32.65</v>
      </c>
      <c r="E2217" s="74">
        <v>22.45</v>
      </c>
      <c r="F2217" s="76">
        <f>-((D2217-C2217)/D2217)</f>
        <v>0.0743683001531394</v>
      </c>
      <c r="G2217" s="75">
        <f>C2217-D2217</f>
        <v>2.4281250000000014</v>
      </c>
      <c r="H2217" s="74">
        <v>700</v>
      </c>
      <c r="I2217" s="74" t="s">
        <v>313</v>
      </c>
    </row>
    <row r="2218" spans="1:9" ht="12.75">
      <c r="A2218" s="5"/>
      <c r="B2218" s="73" t="s">
        <v>242</v>
      </c>
      <c r="C2218" s="75">
        <f>(5/4)^2*E2218</f>
        <v>49.84375</v>
      </c>
      <c r="D2218" s="74">
        <v>45.21</v>
      </c>
      <c r="E2218" s="74">
        <v>31.9</v>
      </c>
      <c r="F2218" s="76">
        <f>-((D2218-C2218)/D2218)</f>
        <v>0.10249391727493916</v>
      </c>
      <c r="G2218" s="75">
        <f>C2218-D2218</f>
        <v>4.633749999999999</v>
      </c>
      <c r="H2218" s="74">
        <v>700</v>
      </c>
      <c r="I2218" s="74" t="s">
        <v>313</v>
      </c>
    </row>
    <row r="2219" spans="1:9" ht="12.75">
      <c r="A2219" s="5"/>
      <c r="B2219" s="73" t="s">
        <v>148</v>
      </c>
      <c r="C2219" s="75">
        <f>(5/4)^2*E2219</f>
        <v>40.75</v>
      </c>
      <c r="D2219" s="74">
        <v>38.56</v>
      </c>
      <c r="E2219" s="74">
        <v>26.08</v>
      </c>
      <c r="F2219" s="76">
        <f>-((D2219-C2219)/D2219)</f>
        <v>0.05679460580912857</v>
      </c>
      <c r="G2219" s="75">
        <f>C2219-D2219</f>
        <v>2.1899999999999977</v>
      </c>
      <c r="H2219" s="74">
        <v>700</v>
      </c>
      <c r="I2219" s="74" t="s">
        <v>313</v>
      </c>
    </row>
    <row r="2220" spans="1:9" ht="12.75">
      <c r="A2220" s="5"/>
      <c r="B2220" s="73" t="s">
        <v>243</v>
      </c>
      <c r="C2220" s="75">
        <f>(5/4)^2*E2220</f>
        <v>50.375</v>
      </c>
      <c r="D2220" s="74">
        <v>45.73</v>
      </c>
      <c r="E2220" s="74">
        <v>32.24</v>
      </c>
      <c r="F2220" s="76">
        <f>-((D2220-C2220)/D2220)</f>
        <v>0.10157445877979453</v>
      </c>
      <c r="G2220" s="75">
        <f>C2220-D2220</f>
        <v>4.645000000000003</v>
      </c>
      <c r="H2220" s="74">
        <v>700</v>
      </c>
      <c r="I2220" s="74" t="s">
        <v>313</v>
      </c>
    </row>
    <row r="2221" spans="1:9" ht="12.75">
      <c r="A2221" s="5"/>
      <c r="B2221" s="73" t="s">
        <v>244</v>
      </c>
      <c r="C2221" s="75">
        <f>(5/4)^2*E2221</f>
        <v>43.390625</v>
      </c>
      <c r="D2221" s="74">
        <v>40.54</v>
      </c>
      <c r="E2221" s="74">
        <v>27.77</v>
      </c>
      <c r="F2221" s="76">
        <f>-((D2221-C2221)/D2221)</f>
        <v>0.07031635421805627</v>
      </c>
      <c r="G2221" s="75">
        <f>C2221-D2221</f>
        <v>2.850625000000001</v>
      </c>
      <c r="H2221" s="74">
        <v>700</v>
      </c>
      <c r="I2221" s="74" t="s">
        <v>313</v>
      </c>
    </row>
    <row r="2222" spans="1:9" ht="12.75">
      <c r="A2222" s="5"/>
      <c r="B2222" s="73" t="s">
        <v>122</v>
      </c>
      <c r="C2222" s="75">
        <f>(5/4)^2*E2222</f>
        <v>39.421875</v>
      </c>
      <c r="D2222" s="74">
        <v>37.54</v>
      </c>
      <c r="E2222" s="74">
        <v>25.23</v>
      </c>
      <c r="F2222" s="76">
        <f>-((D2222-C2222)/D2222)</f>
        <v>0.05012986148108686</v>
      </c>
      <c r="G2222" s="75">
        <f>C2222-D2222</f>
        <v>1.8818750000000009</v>
      </c>
      <c r="H2222" s="74">
        <v>700</v>
      </c>
      <c r="I2222" s="74" t="s">
        <v>313</v>
      </c>
    </row>
    <row r="2223" spans="1:9" ht="12.75">
      <c r="A2223" s="5"/>
      <c r="B2223" s="73" t="s">
        <v>97</v>
      </c>
      <c r="C2223" s="75">
        <f>(5/4)^2*E2223</f>
        <v>36.859375</v>
      </c>
      <c r="D2223" s="74">
        <v>34.27</v>
      </c>
      <c r="E2223" s="74">
        <v>23.59</v>
      </c>
      <c r="F2223" s="76">
        <f>-((D2223-C2223)/D2223)</f>
        <v>0.07555806828129549</v>
      </c>
      <c r="G2223" s="75">
        <f>C2223-D2223</f>
        <v>2.589374999999997</v>
      </c>
      <c r="H2223" s="74">
        <v>700</v>
      </c>
      <c r="I2223" s="74" t="s">
        <v>313</v>
      </c>
    </row>
    <row r="2224" spans="1:9" ht="12.75">
      <c r="A2224" s="5"/>
      <c r="B2224" s="73" t="s">
        <v>98</v>
      </c>
      <c r="C2224" s="75">
        <f>(5/4)^2*E2224</f>
        <v>31.171875</v>
      </c>
      <c r="D2224" s="74">
        <v>28.86</v>
      </c>
      <c r="E2224" s="74">
        <v>19.95</v>
      </c>
      <c r="F2224" s="76">
        <f>-((D2224-C2224)/D2224)</f>
        <v>0.08010654885654887</v>
      </c>
      <c r="G2224" s="75">
        <f>C2224-D2224</f>
        <v>2.3118750000000006</v>
      </c>
      <c r="H2224" s="74">
        <v>700</v>
      </c>
      <c r="I2224" s="74" t="s">
        <v>313</v>
      </c>
    </row>
    <row r="2225" spans="1:9" ht="12.75">
      <c r="A2225" s="5"/>
      <c r="B2225" s="73" t="s">
        <v>101</v>
      </c>
      <c r="C2225" s="75">
        <f>(5/4)^2*E2225</f>
        <v>43.140625</v>
      </c>
      <c r="D2225" s="74">
        <v>38.66</v>
      </c>
      <c r="E2225" s="74">
        <v>27.61</v>
      </c>
      <c r="F2225" s="76">
        <f>-((D2225-C2225)/D2225)</f>
        <v>0.11589821520951898</v>
      </c>
      <c r="G2225" s="75">
        <f>C2225-D2225</f>
        <v>4.480625000000003</v>
      </c>
      <c r="H2225" s="74">
        <v>700</v>
      </c>
      <c r="I2225" s="74" t="s">
        <v>313</v>
      </c>
    </row>
    <row r="2226" spans="1:9" ht="12.75">
      <c r="A2226" s="5"/>
      <c r="B2226" s="73"/>
      <c r="C2226" s="75"/>
      <c r="D2226" s="74"/>
      <c r="E2226" s="74" t="s">
        <v>14</v>
      </c>
      <c r="F2226" s="76">
        <f>AVERAGE(F2211:F2225)</f>
        <v>0.09746049394398532</v>
      </c>
      <c r="G2226" s="75">
        <f>AVERAGE(G2211:G2225)</f>
        <v>3.855625000000001</v>
      </c>
      <c r="H2226" s="74"/>
      <c r="I2226" s="74"/>
    </row>
    <row r="2227" ht="12.75">
      <c r="I2227" s="70"/>
    </row>
    <row r="2228" spans="1:9" ht="12.75">
      <c r="A2228" s="79" t="s">
        <v>0</v>
      </c>
      <c r="B2228" s="79" t="s">
        <v>1</v>
      </c>
      <c r="C2228" s="80" t="s">
        <v>322</v>
      </c>
      <c r="D2228" s="80" t="s">
        <v>194</v>
      </c>
      <c r="E2228" s="80" t="s">
        <v>218</v>
      </c>
      <c r="F2228" s="80" t="s">
        <v>5</v>
      </c>
      <c r="G2228" s="80" t="s">
        <v>6</v>
      </c>
      <c r="H2228" s="80" t="s">
        <v>7</v>
      </c>
      <c r="I2228" s="80" t="s">
        <v>8</v>
      </c>
    </row>
    <row r="2229" spans="1:9" ht="12.75">
      <c r="A2229" s="79" t="s">
        <v>315</v>
      </c>
      <c r="B2229" s="79" t="s">
        <v>91</v>
      </c>
      <c r="C2229" s="81">
        <f>(6/5)^1.67*E2229</f>
        <v>48.148565563375364</v>
      </c>
      <c r="D2229" s="80">
        <v>46.86</v>
      </c>
      <c r="E2229" s="80">
        <v>35.51</v>
      </c>
      <c r="F2229" s="82">
        <f>-((D2229-C2229)/D2229)</f>
        <v>0.0274981981087359</v>
      </c>
      <c r="G2229" s="81">
        <f>C2229-D2229</f>
        <v>1.2885655633753643</v>
      </c>
      <c r="H2229" s="80">
        <v>700</v>
      </c>
      <c r="I2229" s="80" t="s">
        <v>313</v>
      </c>
    </row>
    <row r="2230" spans="2:9" ht="12.75">
      <c r="B2230" s="79" t="s">
        <v>92</v>
      </c>
      <c r="C2230" s="81">
        <f>(6/5)^1.67*E2230</f>
        <v>39.796125015068064</v>
      </c>
      <c r="D2230" s="80">
        <v>39.25</v>
      </c>
      <c r="E2230" s="80">
        <v>29.35</v>
      </c>
      <c r="F2230" s="82">
        <f>-((D2230-C2230)/D2230)</f>
        <v>0.013914013122753225</v>
      </c>
      <c r="G2230" s="81">
        <f>C2230-D2230</f>
        <v>0.5461250150680641</v>
      </c>
      <c r="H2230" s="80">
        <v>700</v>
      </c>
      <c r="I2230" s="80" t="s">
        <v>313</v>
      </c>
    </row>
    <row r="2231" spans="2:9" ht="12.75">
      <c r="B2231" s="79" t="s">
        <v>93</v>
      </c>
      <c r="C2231" s="81">
        <f>(6/5)^1.67*E2231</f>
        <v>27.742034678306393</v>
      </c>
      <c r="D2231" s="80">
        <v>27.52</v>
      </c>
      <c r="E2231" s="80">
        <v>20.46</v>
      </c>
      <c r="F2231" s="82">
        <f>-((D2231-C2231)/D2231)</f>
        <v>0.008068120577993936</v>
      </c>
      <c r="G2231" s="81">
        <f>C2231-D2231</f>
        <v>0.22203467830639312</v>
      </c>
      <c r="H2231" s="80">
        <v>700</v>
      </c>
      <c r="I2231" s="80" t="s">
        <v>313</v>
      </c>
    </row>
    <row r="2232" spans="2:9" ht="12.75">
      <c r="B2232" s="79" t="s">
        <v>44</v>
      </c>
      <c r="C2232" s="81">
        <f>(6/5)^1.67*E2232</f>
        <v>31.33521121288664</v>
      </c>
      <c r="D2232" s="80">
        <v>30.49</v>
      </c>
      <c r="E2232" s="80">
        <v>23.11</v>
      </c>
      <c r="F2232" s="82">
        <f>-((D2232-C2232)/D2232)</f>
        <v>0.027720931875586833</v>
      </c>
      <c r="G2232" s="81">
        <f>C2232-D2232</f>
        <v>0.8452112128866425</v>
      </c>
      <c r="H2232" s="80">
        <v>700</v>
      </c>
      <c r="I2232" s="80" t="s">
        <v>313</v>
      </c>
    </row>
    <row r="2233" spans="2:9" ht="12.75">
      <c r="B2233" s="79" t="s">
        <v>46</v>
      </c>
      <c r="C2233" s="81">
        <f>(6/5)^1.67*E2233</f>
        <v>19.769250518558515</v>
      </c>
      <c r="D2233" s="80">
        <v>19.44</v>
      </c>
      <c r="E2233" s="80">
        <v>14.58</v>
      </c>
      <c r="F2233" s="82">
        <f>-((D2233-C2233)/D2233)</f>
        <v>0.016936755069882382</v>
      </c>
      <c r="G2233" s="81">
        <f>C2233-D2233</f>
        <v>0.3292505185585135</v>
      </c>
      <c r="H2233" s="80">
        <v>700</v>
      </c>
      <c r="I2233" s="80" t="s">
        <v>313</v>
      </c>
    </row>
    <row r="2234" spans="2:9" ht="12.75">
      <c r="B2234" s="79" t="s">
        <v>96</v>
      </c>
      <c r="C2234" s="81">
        <f>(6/5)^1.67*E2234</f>
        <v>44.27064673737554</v>
      </c>
      <c r="D2234" s="80">
        <v>44.72</v>
      </c>
      <c r="E2234" s="80">
        <v>32.65</v>
      </c>
      <c r="F2234" s="82">
        <f>-((D2234-C2234)/D2234)</f>
        <v>-0.010048149879795524</v>
      </c>
      <c r="G2234" s="81">
        <f>C2234-D2234</f>
        <v>-0.44935326262445585</v>
      </c>
      <c r="H2234" s="80">
        <v>700</v>
      </c>
      <c r="I2234" s="80" t="s">
        <v>313</v>
      </c>
    </row>
    <row r="2235" spans="2:9" ht="12.75">
      <c r="B2235" s="79" t="s">
        <v>97</v>
      </c>
      <c r="C2235" s="81">
        <f>(6/5)^1.67*E2235</f>
        <v>46.4672301283265</v>
      </c>
      <c r="D2235" s="80">
        <v>47.05</v>
      </c>
      <c r="E2235" s="80">
        <v>34.27</v>
      </c>
      <c r="F2235" s="82">
        <f>-((D2235-C2235)/D2235)</f>
        <v>-0.012386182182221012</v>
      </c>
      <c r="G2235" s="81">
        <f>C2235-D2235</f>
        <v>-0.5827698716734986</v>
      </c>
      <c r="H2235" s="80">
        <v>700</v>
      </c>
      <c r="I2235" s="80" t="s">
        <v>313</v>
      </c>
    </row>
    <row r="2236" spans="2:9" ht="12.75">
      <c r="B2236" s="79" t="s">
        <v>98</v>
      </c>
      <c r="C2236" s="81">
        <f>(6/5)^1.67*E2236</f>
        <v>39.13172633508908</v>
      </c>
      <c r="D2236" s="80">
        <v>40.22</v>
      </c>
      <c r="E2236" s="80">
        <v>28.86</v>
      </c>
      <c r="F2236" s="82">
        <f>-((D2236-C2236)/D2236)</f>
        <v>-0.027058022499028393</v>
      </c>
      <c r="G2236" s="81">
        <f>C2236-D2236</f>
        <v>-1.088273664910922</v>
      </c>
      <c r="H2236" s="80">
        <v>700</v>
      </c>
      <c r="I2236" s="80" t="s">
        <v>313</v>
      </c>
    </row>
    <row r="2237" spans="2:9" ht="12.75">
      <c r="B2237" s="79" t="s">
        <v>103</v>
      </c>
      <c r="C2237" s="81">
        <f>(6/5)^1.67*E2237</f>
        <v>36.691078122921354</v>
      </c>
      <c r="D2237" s="80">
        <v>36.71</v>
      </c>
      <c r="E2237" s="80">
        <v>27.06</v>
      </c>
      <c r="F2237" s="82">
        <f>-((D2237-C2237)/D2237)</f>
        <v>-0.0005154420342862104</v>
      </c>
      <c r="G2237" s="81">
        <f>C2237-D2237</f>
        <v>-0.018921877078646787</v>
      </c>
      <c r="H2237" s="80">
        <v>700</v>
      </c>
      <c r="I2237" s="80" t="s">
        <v>313</v>
      </c>
    </row>
    <row r="2238" spans="2:9" ht="12.75">
      <c r="B2238" s="79" t="s">
        <v>104</v>
      </c>
      <c r="C2238" s="81">
        <f>(6/5)^1.67*E2238</f>
        <v>30.969113981061486</v>
      </c>
      <c r="D2238" s="80">
        <v>31.59</v>
      </c>
      <c r="E2238" s="80">
        <v>22.84</v>
      </c>
      <c r="F2238" s="82">
        <f>-((D2238-C2238)/D2238)</f>
        <v>-0.019654511520687354</v>
      </c>
      <c r="G2238" s="81">
        <f>C2238-D2238</f>
        <v>-0.6208860189385135</v>
      </c>
      <c r="H2238" s="80">
        <v>700</v>
      </c>
      <c r="I2238" s="80" t="s">
        <v>313</v>
      </c>
    </row>
    <row r="2239" spans="2:9" ht="12.75">
      <c r="B2239" s="79" t="s">
        <v>107</v>
      </c>
      <c r="C2239" s="81">
        <f>(6/5)^1.67*E2239</f>
        <v>40.01307152281631</v>
      </c>
      <c r="D2239" s="80">
        <v>39.33</v>
      </c>
      <c r="E2239" s="80">
        <v>29.51</v>
      </c>
      <c r="F2239" s="82">
        <f>-((D2239-C2239)/D2239)</f>
        <v>0.017367696995075337</v>
      </c>
      <c r="G2239" s="81">
        <f>C2239-D2239</f>
        <v>0.6830715228163129</v>
      </c>
      <c r="H2239" s="80">
        <v>700</v>
      </c>
      <c r="I2239" s="80" t="s">
        <v>313</v>
      </c>
    </row>
    <row r="2240" spans="2:9" ht="12.75">
      <c r="B2240" s="79" t="s">
        <v>83</v>
      </c>
      <c r="C2240" s="81">
        <f>(6/5)^1.67*E2240</f>
        <v>35.80973293519413</v>
      </c>
      <c r="D2240" s="80">
        <v>36.26</v>
      </c>
      <c r="E2240" s="80">
        <v>26.41</v>
      </c>
      <c r="F2240" s="82">
        <f>-((D2240-C2240)/D2240)</f>
        <v>-0.012417734826416744</v>
      </c>
      <c r="G2240" s="81">
        <f>C2240-D2240</f>
        <v>-0.4502670648058711</v>
      </c>
      <c r="H2240" s="80">
        <v>700</v>
      </c>
      <c r="I2240" s="80" t="s">
        <v>313</v>
      </c>
    </row>
    <row r="2241" spans="2:9" ht="12.75">
      <c r="B2241" s="79" t="s">
        <v>84</v>
      </c>
      <c r="C2241" s="81">
        <f>(6/5)^1.67*E2241</f>
        <v>23.10480307518773</v>
      </c>
      <c r="D2241" s="80">
        <v>23.32</v>
      </c>
      <c r="E2241" s="80">
        <v>17.04</v>
      </c>
      <c r="F2241" s="82">
        <f>-((D2241-C2241)/D2241)</f>
        <v>-0.009227998491092274</v>
      </c>
      <c r="G2241" s="81">
        <f>C2241-D2241</f>
        <v>-0.21519692481227182</v>
      </c>
      <c r="H2241" s="80">
        <v>700</v>
      </c>
      <c r="I2241" s="80" t="s">
        <v>313</v>
      </c>
    </row>
    <row r="2242" spans="2:9" ht="12.75">
      <c r="B2242" s="79"/>
      <c r="C2242" s="81"/>
      <c r="D2242" s="80"/>
      <c r="E2242" s="80" t="s">
        <v>14</v>
      </c>
      <c r="F2242" s="82">
        <f>AVERAGE(F2229:F2241)</f>
        <v>0.0015536672551153925</v>
      </c>
      <c r="G2242" s="81">
        <f>AVERAGE(G2229:G2241)</f>
        <v>0.03758383278208545</v>
      </c>
      <c r="H2242" s="80"/>
      <c r="I2242" s="80"/>
    </row>
    <row r="2243" spans="2:9" ht="12.75">
      <c r="B2243" s="79"/>
      <c r="C2243" s="81"/>
      <c r="D2243" s="80"/>
      <c r="E2243" s="80"/>
      <c r="F2243" s="82"/>
      <c r="G2243" s="81"/>
      <c r="H2243" s="80"/>
      <c r="I2243" s="80"/>
    </row>
    <row r="2244" spans="1:9" ht="12.75">
      <c r="A2244" s="83" t="s">
        <v>0</v>
      </c>
      <c r="B2244" s="83" t="s">
        <v>1</v>
      </c>
      <c r="C2244" s="84" t="s">
        <v>247</v>
      </c>
      <c r="D2244" s="84" t="s">
        <v>194</v>
      </c>
      <c r="E2244" s="84" t="s">
        <v>218</v>
      </c>
      <c r="F2244" s="84" t="s">
        <v>5</v>
      </c>
      <c r="G2244" s="84" t="s">
        <v>6</v>
      </c>
      <c r="H2244" s="84" t="s">
        <v>7</v>
      </c>
      <c r="I2244" s="84" t="s">
        <v>8</v>
      </c>
    </row>
    <row r="2245" spans="1:9" ht="12.75">
      <c r="A2245" s="83" t="s">
        <v>315</v>
      </c>
      <c r="B2245" s="83" t="s">
        <v>91</v>
      </c>
      <c r="C2245" s="85">
        <f>(6/5)^2*E2245</f>
        <v>51.13439999999999</v>
      </c>
      <c r="D2245" s="84">
        <v>46.86</v>
      </c>
      <c r="E2245" s="84">
        <v>35.51</v>
      </c>
      <c r="F2245" s="86">
        <f>-((D2245-C2245)/D2245)</f>
        <v>0.0912163892445581</v>
      </c>
      <c r="G2245" s="85">
        <f>C2245-D2245</f>
        <v>4.274399999999993</v>
      </c>
      <c r="H2245" s="84">
        <v>700</v>
      </c>
      <c r="I2245" s="84" t="s">
        <v>313</v>
      </c>
    </row>
    <row r="2246" spans="1:9" ht="12.75">
      <c r="A2246" s="5"/>
      <c r="B2246" s="83" t="s">
        <v>92</v>
      </c>
      <c r="C2246" s="85">
        <f>(6/5)^2*E2246</f>
        <v>42.264</v>
      </c>
      <c r="D2246" s="84">
        <v>39.25</v>
      </c>
      <c r="E2246" s="84">
        <v>29.35</v>
      </c>
      <c r="F2246" s="86">
        <f>-((D2246-C2246)/D2246)</f>
        <v>0.07678980891719753</v>
      </c>
      <c r="G2246" s="85">
        <f>C2246-D2246</f>
        <v>3.014000000000003</v>
      </c>
      <c r="H2246" s="84">
        <v>700</v>
      </c>
      <c r="I2246" s="84" t="s">
        <v>313</v>
      </c>
    </row>
    <row r="2247" spans="1:9" ht="12.75">
      <c r="A2247" s="5"/>
      <c r="B2247" s="83" t="s">
        <v>93</v>
      </c>
      <c r="C2247" s="85">
        <f>(6/5)^2*E2247</f>
        <v>29.4624</v>
      </c>
      <c r="D2247" s="84">
        <v>27.52</v>
      </c>
      <c r="E2247" s="84">
        <v>20.46</v>
      </c>
      <c r="F2247" s="86">
        <f>-((D2247-C2247)/D2247)</f>
        <v>0.07058139534883719</v>
      </c>
      <c r="G2247" s="85">
        <f>C2247-D2247</f>
        <v>1.9423999999999992</v>
      </c>
      <c r="H2247" s="84">
        <v>700</v>
      </c>
      <c r="I2247" s="84" t="s">
        <v>313</v>
      </c>
    </row>
    <row r="2248" spans="1:9" ht="12.75">
      <c r="A2248" s="5"/>
      <c r="B2248" s="83" t="s">
        <v>44</v>
      </c>
      <c r="C2248" s="85">
        <f>(6/5)^2*E2248</f>
        <v>33.2784</v>
      </c>
      <c r="D2248" s="84">
        <v>30.49</v>
      </c>
      <c r="E2248" s="84">
        <v>23.11</v>
      </c>
      <c r="F2248" s="86">
        <f>-((D2248-C2248)/D2248)</f>
        <v>0.091452935388652</v>
      </c>
      <c r="G2248" s="85">
        <f>C2248-D2248</f>
        <v>2.7883999999999993</v>
      </c>
      <c r="H2248" s="84">
        <v>700</v>
      </c>
      <c r="I2248" s="84" t="s">
        <v>313</v>
      </c>
    </row>
    <row r="2249" spans="1:9" ht="12.75">
      <c r="A2249" s="5"/>
      <c r="B2249" s="83" t="s">
        <v>46</v>
      </c>
      <c r="C2249" s="85">
        <f>(6/5)^2*E2249</f>
        <v>20.9952</v>
      </c>
      <c r="D2249" s="84">
        <v>19.44</v>
      </c>
      <c r="E2249" s="84">
        <v>14.58</v>
      </c>
      <c r="F2249" s="86">
        <f>-((D2249-C2249)/D2249)</f>
        <v>0.07999999999999996</v>
      </c>
      <c r="G2249" s="85">
        <f>C2249-D2249</f>
        <v>1.5551999999999992</v>
      </c>
      <c r="H2249" s="84">
        <v>700</v>
      </c>
      <c r="I2249" s="84" t="s">
        <v>313</v>
      </c>
    </row>
    <row r="2250" spans="1:9" ht="12.75">
      <c r="A2250" s="5"/>
      <c r="B2250" s="83" t="s">
        <v>96</v>
      </c>
      <c r="C2250" s="85">
        <f>(6/5)^2*E2250</f>
        <v>47.016</v>
      </c>
      <c r="D2250" s="84">
        <v>44.72</v>
      </c>
      <c r="E2250" s="84">
        <v>32.65</v>
      </c>
      <c r="F2250" s="86">
        <f>-((D2250-C2250)/D2250)</f>
        <v>0.051341681574239705</v>
      </c>
      <c r="G2250" s="85">
        <f>C2250-D2250</f>
        <v>2.2959999999999994</v>
      </c>
      <c r="H2250" s="84">
        <v>700</v>
      </c>
      <c r="I2250" s="84" t="s">
        <v>313</v>
      </c>
    </row>
    <row r="2251" spans="1:9" ht="12.75">
      <c r="A2251" s="5"/>
      <c r="B2251" s="83" t="s">
        <v>97</v>
      </c>
      <c r="C2251" s="85">
        <f>(6/5)^2*E2251</f>
        <v>49.348800000000004</v>
      </c>
      <c r="D2251" s="84">
        <v>47.05</v>
      </c>
      <c r="E2251" s="84">
        <v>34.27</v>
      </c>
      <c r="F2251" s="86">
        <f>-((D2251-C2251)/D2251)</f>
        <v>0.04885866099893745</v>
      </c>
      <c r="G2251" s="85">
        <f>C2251-D2251</f>
        <v>2.298800000000007</v>
      </c>
      <c r="H2251" s="84">
        <v>700</v>
      </c>
      <c r="I2251" s="84" t="s">
        <v>313</v>
      </c>
    </row>
    <row r="2252" spans="1:9" ht="12.75">
      <c r="A2252" s="5"/>
      <c r="B2252" s="83" t="s">
        <v>98</v>
      </c>
      <c r="C2252" s="85">
        <f>(6/5)^2*E2252</f>
        <v>41.5584</v>
      </c>
      <c r="D2252" s="84">
        <v>40.22</v>
      </c>
      <c r="E2252" s="84">
        <v>28.86</v>
      </c>
      <c r="F2252" s="86">
        <f>-((D2252-C2252)/D2252)</f>
        <v>0.033276976628543016</v>
      </c>
      <c r="G2252" s="85">
        <f>C2252-D2252</f>
        <v>1.3384</v>
      </c>
      <c r="H2252" s="84">
        <v>700</v>
      </c>
      <c r="I2252" s="84" t="s">
        <v>313</v>
      </c>
    </row>
    <row r="2253" spans="1:9" ht="12.75">
      <c r="A2253" s="5"/>
      <c r="B2253" s="83" t="s">
        <v>103</v>
      </c>
      <c r="C2253" s="85">
        <f>(6/5)^2*E2253</f>
        <v>38.9664</v>
      </c>
      <c r="D2253" s="84">
        <v>36.71</v>
      </c>
      <c r="E2253" s="84">
        <v>27.06</v>
      </c>
      <c r="F2253" s="86">
        <f>-((D2253-C2253)/D2253)</f>
        <v>0.06146554072459818</v>
      </c>
      <c r="G2253" s="85">
        <f>C2253-D2253</f>
        <v>2.2563999999999993</v>
      </c>
      <c r="H2253" s="84">
        <v>700</v>
      </c>
      <c r="I2253" s="84" t="s">
        <v>313</v>
      </c>
    </row>
    <row r="2254" spans="1:9" ht="12.75">
      <c r="A2254" s="5"/>
      <c r="B2254" s="83" t="s">
        <v>104</v>
      </c>
      <c r="C2254" s="85">
        <f>(6/5)^2*E2254</f>
        <v>32.8896</v>
      </c>
      <c r="D2254" s="84">
        <v>31.59</v>
      </c>
      <c r="E2254" s="84">
        <v>22.84</v>
      </c>
      <c r="F2254" s="86">
        <f>-((D2254-C2254)/D2254)</f>
        <v>0.04113960113960119</v>
      </c>
      <c r="G2254" s="85">
        <f>C2254-D2254</f>
        <v>1.2996000000000016</v>
      </c>
      <c r="H2254" s="84">
        <v>700</v>
      </c>
      <c r="I2254" s="84" t="s">
        <v>313</v>
      </c>
    </row>
    <row r="2255" spans="1:9" ht="12.75">
      <c r="A2255" s="5"/>
      <c r="B2255" s="83" t="s">
        <v>107</v>
      </c>
      <c r="C2255" s="85">
        <f>(6/5)^2*E2255</f>
        <v>42.4944</v>
      </c>
      <c r="D2255" s="84">
        <v>39.33</v>
      </c>
      <c r="E2255" s="84">
        <v>29.51</v>
      </c>
      <c r="F2255" s="86">
        <f>-((D2255-C2255)/D2255)</f>
        <v>0.08045766590389018</v>
      </c>
      <c r="G2255" s="85">
        <f>C2255-D2255</f>
        <v>3.1644000000000005</v>
      </c>
      <c r="H2255" s="84">
        <v>700</v>
      </c>
      <c r="I2255" s="84" t="s">
        <v>313</v>
      </c>
    </row>
    <row r="2256" spans="1:9" ht="12.75">
      <c r="A2256" s="5"/>
      <c r="B2256" s="83" t="s">
        <v>83</v>
      </c>
      <c r="C2256" s="85">
        <f>(6/5)^2*E2256</f>
        <v>38.0304</v>
      </c>
      <c r="D2256" s="84">
        <v>36.26</v>
      </c>
      <c r="E2256" s="84">
        <v>26.41</v>
      </c>
      <c r="F2256" s="86">
        <f>-((D2256-C2256)/D2256)</f>
        <v>0.0488251516822946</v>
      </c>
      <c r="G2256" s="85">
        <f>C2256-D2256</f>
        <v>1.7704000000000022</v>
      </c>
      <c r="H2256" s="84">
        <v>700</v>
      </c>
      <c r="I2256" s="84" t="s">
        <v>313</v>
      </c>
    </row>
    <row r="2257" spans="1:9" ht="12.75">
      <c r="A2257" s="5"/>
      <c r="B2257" s="83" t="s">
        <v>84</v>
      </c>
      <c r="C2257" s="85">
        <f>(6/5)^2*E2257</f>
        <v>24.537599999999998</v>
      </c>
      <c r="D2257" s="84">
        <v>23.32</v>
      </c>
      <c r="E2257" s="84">
        <v>17.04</v>
      </c>
      <c r="F2257" s="86">
        <f>-((D2257-C2257)/D2257)</f>
        <v>0.05221269296740984</v>
      </c>
      <c r="G2257" s="85">
        <f>C2257-D2257</f>
        <v>1.2175999999999974</v>
      </c>
      <c r="H2257" s="84">
        <v>700</v>
      </c>
      <c r="I2257" s="84" t="s">
        <v>313</v>
      </c>
    </row>
    <row r="2258" spans="1:9" ht="12.75">
      <c r="A2258" s="5"/>
      <c r="B2258" s="83"/>
      <c r="C2258" s="85"/>
      <c r="D2258" s="84"/>
      <c r="E2258" s="84" t="s">
        <v>14</v>
      </c>
      <c r="F2258" s="86">
        <f>AVERAGE(F2245:F2257)</f>
        <v>0.06366296157836607</v>
      </c>
      <c r="G2258" s="85">
        <f>AVERAGE(G2245:G2257)</f>
        <v>2.2473846153846155</v>
      </c>
      <c r="H2258" s="84"/>
      <c r="I2258" s="84"/>
    </row>
    <row r="2259" spans="2:9" ht="12.75">
      <c r="B2259" s="79"/>
      <c r="C2259" s="81"/>
      <c r="D2259" s="80"/>
      <c r="E2259" s="80"/>
      <c r="F2259" s="82"/>
      <c r="G2259" s="81"/>
      <c r="H2259" s="80"/>
      <c r="I2259" s="80"/>
    </row>
    <row r="2260" spans="1:9" ht="12.75">
      <c r="A2260" s="69" t="s">
        <v>0</v>
      </c>
      <c r="B2260" s="69" t="s">
        <v>1</v>
      </c>
      <c r="C2260" s="70" t="s">
        <v>302</v>
      </c>
      <c r="D2260" s="70" t="s">
        <v>218</v>
      </c>
      <c r="E2260" s="70" t="s">
        <v>73</v>
      </c>
      <c r="F2260" s="70" t="s">
        <v>5</v>
      </c>
      <c r="G2260" s="70" t="s">
        <v>6</v>
      </c>
      <c r="H2260" s="70" t="s">
        <v>7</v>
      </c>
      <c r="I2260" s="70" t="s">
        <v>8</v>
      </c>
    </row>
    <row r="2261" spans="1:9" ht="12.75">
      <c r="A2261" s="69" t="s">
        <v>323</v>
      </c>
      <c r="B2261" s="69" t="s">
        <v>316</v>
      </c>
      <c r="C2261" s="71">
        <f>(5/4)^1.55*E2261</f>
        <v>38.43964995683965</v>
      </c>
      <c r="D2261" s="70">
        <v>37.12</v>
      </c>
      <c r="E2261" s="70">
        <v>27.2</v>
      </c>
      <c r="F2261" s="72">
        <f>-((D2261-C2261)/D2261)</f>
        <v>0.035550914785551044</v>
      </c>
      <c r="G2261" s="71">
        <f>C2261-D2261</f>
        <v>1.3196499568396547</v>
      </c>
      <c r="H2261" s="70">
        <v>550</v>
      </c>
      <c r="I2261" s="70" t="s">
        <v>313</v>
      </c>
    </row>
    <row r="2262" spans="2:9" ht="12.75">
      <c r="B2262" s="69" t="s">
        <v>312</v>
      </c>
      <c r="C2262" s="71">
        <f>(5/4)^1.55*E2262</f>
        <v>33.36618145150677</v>
      </c>
      <c r="D2262" s="70">
        <v>32.45</v>
      </c>
      <c r="E2262" s="70">
        <v>23.61</v>
      </c>
      <c r="F2262" s="72">
        <f>-((D2262-C2262)/D2262)</f>
        <v>0.028233634869237783</v>
      </c>
      <c r="G2262" s="71">
        <f>C2262-D2262</f>
        <v>0.9161814515067661</v>
      </c>
      <c r="H2262" s="70">
        <v>550</v>
      </c>
      <c r="I2262" s="70" t="s">
        <v>313</v>
      </c>
    </row>
    <row r="2263" spans="2:9" ht="12.75">
      <c r="B2263" s="69" t="s">
        <v>300</v>
      </c>
      <c r="C2263" s="71">
        <f>(5/4)^1.55*E2263</f>
        <v>30.17229877126936</v>
      </c>
      <c r="D2263" s="70">
        <v>29.6</v>
      </c>
      <c r="E2263" s="70">
        <v>21.35</v>
      </c>
      <c r="F2263" s="72">
        <f>-((D2263-C2263)/D2263)</f>
        <v>0.01933441794828917</v>
      </c>
      <c r="G2263" s="71">
        <f>C2263-D2263</f>
        <v>0.5722987712693595</v>
      </c>
      <c r="H2263" s="70">
        <v>550</v>
      </c>
      <c r="I2263" s="70" t="s">
        <v>313</v>
      </c>
    </row>
    <row r="2264" spans="2:9" ht="12.75">
      <c r="B2264" s="69" t="s">
        <v>299</v>
      </c>
      <c r="C2264" s="71">
        <f>(5/4)^1.55*E2264</f>
        <v>21.96147648269442</v>
      </c>
      <c r="D2264" s="70">
        <v>21.52</v>
      </c>
      <c r="E2264" s="70">
        <v>15.54</v>
      </c>
      <c r="F2264" s="72">
        <f>-((D2264-C2264)/D2264)</f>
        <v>0.020514706444907962</v>
      </c>
      <c r="G2264" s="71">
        <f>C2264-D2264</f>
        <v>0.4414764826944193</v>
      </c>
      <c r="H2264" s="70">
        <v>550</v>
      </c>
      <c r="I2264" s="70" t="s">
        <v>313</v>
      </c>
    </row>
    <row r="2265" spans="2:9" ht="12.75">
      <c r="B2265" s="69" t="s">
        <v>317</v>
      </c>
      <c r="C2265" s="71">
        <f>(5/4)^1.55*E2265</f>
        <v>36.404609665006966</v>
      </c>
      <c r="D2265" s="70">
        <v>36.07</v>
      </c>
      <c r="E2265" s="70">
        <v>25.76</v>
      </c>
      <c r="F2265" s="72">
        <f>-((D2265-C2265)/D2265)</f>
        <v>0.009276674937814401</v>
      </c>
      <c r="G2265" s="71">
        <f>C2265-D2265</f>
        <v>0.33460966500696543</v>
      </c>
      <c r="H2265" s="70">
        <v>550</v>
      </c>
      <c r="I2265" s="70" t="s">
        <v>313</v>
      </c>
    </row>
    <row r="2266" spans="2:9" ht="12.75">
      <c r="B2266" s="69" t="s">
        <v>283</v>
      </c>
      <c r="C2266" s="71">
        <f>(5/4)^1.55*E2266</f>
        <v>34.072792663948675</v>
      </c>
      <c r="D2266" s="70">
        <v>34.3</v>
      </c>
      <c r="E2266" s="70">
        <v>24.11</v>
      </c>
      <c r="F2266" s="72">
        <f>-((D2266-C2266)/D2266)</f>
        <v>-0.006624120584586643</v>
      </c>
      <c r="G2266" s="71">
        <f>C2266-D2266</f>
        <v>-0.22720733605132182</v>
      </c>
      <c r="H2266" s="70">
        <v>550</v>
      </c>
      <c r="I2266" s="70" t="s">
        <v>313</v>
      </c>
    </row>
    <row r="2267" spans="2:9" ht="12.75">
      <c r="B2267" s="69" t="s">
        <v>288</v>
      </c>
      <c r="C2267" s="71">
        <f>(5/4)^1.55*E2267</f>
        <v>26.031557066359795</v>
      </c>
      <c r="D2267" s="70">
        <v>26.87</v>
      </c>
      <c r="E2267" s="70">
        <v>18.42</v>
      </c>
      <c r="F2267" s="72">
        <f>-((D2267-C2267)/D2267)</f>
        <v>-0.03120368193674007</v>
      </c>
      <c r="G2267" s="71">
        <f>C2267-D2267</f>
        <v>-0.8384429336402057</v>
      </c>
      <c r="H2267" s="70">
        <v>550</v>
      </c>
      <c r="I2267" s="70" t="s">
        <v>313</v>
      </c>
    </row>
    <row r="2268" spans="2:9" ht="12.75">
      <c r="B2268" s="69" t="s">
        <v>319</v>
      </c>
      <c r="C2268" s="71">
        <f>(5/4)^1.55*E2268</f>
        <v>34.59568496115569</v>
      </c>
      <c r="D2268" s="70">
        <v>34.38</v>
      </c>
      <c r="E2268" s="70">
        <v>24.48</v>
      </c>
      <c r="F2268" s="72">
        <f>-((D2268-C2268)/D2268)</f>
        <v>0.0062735590795720735</v>
      </c>
      <c r="G2268" s="71">
        <f>C2268-D2268</f>
        <v>0.21568496115568792</v>
      </c>
      <c r="H2268" s="70">
        <v>550</v>
      </c>
      <c r="I2268" s="70" t="s">
        <v>313</v>
      </c>
    </row>
    <row r="2269" spans="2:9" ht="12.75">
      <c r="B2269" s="69" t="s">
        <v>320</v>
      </c>
      <c r="C2269" s="71">
        <f>(5/4)^1.55*E2269</f>
        <v>34.59568496115569</v>
      </c>
      <c r="D2269" s="70">
        <v>34.24</v>
      </c>
      <c r="E2269" s="70">
        <v>24.48</v>
      </c>
      <c r="F2269" s="72">
        <f>-((D2269-C2269)/D2269)</f>
        <v>0.010387995360855388</v>
      </c>
      <c r="G2269" s="71">
        <f>C2269-D2269</f>
        <v>0.3556849611556885</v>
      </c>
      <c r="H2269" s="70">
        <v>550</v>
      </c>
      <c r="I2269" s="70" t="s">
        <v>313</v>
      </c>
    </row>
    <row r="2270" spans="2:9" ht="12.75">
      <c r="B2270" s="69" t="s">
        <v>284</v>
      </c>
      <c r="C2270" s="71">
        <f>(5/4)^1.55*E2270</f>
        <v>31.89643012962761</v>
      </c>
      <c r="D2270" s="70">
        <v>33.05</v>
      </c>
      <c r="E2270" s="70">
        <v>22.57</v>
      </c>
      <c r="F2270" s="72">
        <f>-((D2270-C2270)/D2270)</f>
        <v>-0.0349037782260934</v>
      </c>
      <c r="G2270" s="71">
        <f>C2270-D2270</f>
        <v>-1.1535698703723867</v>
      </c>
      <c r="H2270" s="70">
        <v>550</v>
      </c>
      <c r="I2270" s="70" t="s">
        <v>313</v>
      </c>
    </row>
    <row r="2271" spans="2:9" ht="12.75">
      <c r="B2271" s="69" t="s">
        <v>285</v>
      </c>
      <c r="C2271" s="71">
        <f>(5/4)^1.55*E2271</f>
        <v>37.535187604914015</v>
      </c>
      <c r="D2271" s="70">
        <v>37.78</v>
      </c>
      <c r="E2271" s="70">
        <v>26.56</v>
      </c>
      <c r="F2271" s="72">
        <f>-((D2271-C2271)/D2271)</f>
        <v>-0.00647994693186836</v>
      </c>
      <c r="G2271" s="71">
        <f>C2271-D2271</f>
        <v>-0.24481239508598662</v>
      </c>
      <c r="H2271" s="70">
        <v>550</v>
      </c>
      <c r="I2271" s="70" t="s">
        <v>313</v>
      </c>
    </row>
    <row r="2272" spans="2:9" ht="12.75">
      <c r="B2272" s="69" t="s">
        <v>286</v>
      </c>
      <c r="C2272" s="71">
        <f>(5/4)^1.55*E2272</f>
        <v>28.419902964413435</v>
      </c>
      <c r="D2272" s="70">
        <v>28.93</v>
      </c>
      <c r="E2272" s="70">
        <v>20.11</v>
      </c>
      <c r="F2272" s="72">
        <f>-((D2272-C2272)/D2272)</f>
        <v>-0.017632113224561523</v>
      </c>
      <c r="G2272" s="71">
        <f>C2272-D2272</f>
        <v>-0.5100970355865648</v>
      </c>
      <c r="H2272" s="70">
        <v>550</v>
      </c>
      <c r="I2272" s="70" t="s">
        <v>313</v>
      </c>
    </row>
    <row r="2273" spans="2:9" ht="12.75">
      <c r="B2273" s="69" t="s">
        <v>289</v>
      </c>
      <c r="C2273" s="71">
        <f>(5/4)^1.55*E2273</f>
        <v>26.58271381206448</v>
      </c>
      <c r="D2273" s="70">
        <v>26.78</v>
      </c>
      <c r="E2273" s="70">
        <v>18.81</v>
      </c>
      <c r="F2273" s="72">
        <f>-((D2273-C2273)/D2273)</f>
        <v>-0.00736692262641977</v>
      </c>
      <c r="G2273" s="71">
        <f>C2273-D2273</f>
        <v>-0.19728618793552144</v>
      </c>
      <c r="H2273" s="70">
        <v>550</v>
      </c>
      <c r="I2273" s="70" t="s">
        <v>313</v>
      </c>
    </row>
    <row r="2274" spans="2:9" ht="12.75">
      <c r="B2274" s="69" t="s">
        <v>308</v>
      </c>
      <c r="C2274" s="71">
        <f>(5/4)^1.55*E2274</f>
        <v>34.12932156094403</v>
      </c>
      <c r="D2274" s="70">
        <v>33.03</v>
      </c>
      <c r="E2274" s="70">
        <v>24.15</v>
      </c>
      <c r="F2274" s="72">
        <f>-((D2274-C2274)/D2274)</f>
        <v>0.033282517739752555</v>
      </c>
      <c r="G2274" s="71">
        <f>C2274-D2274</f>
        <v>1.099321560944027</v>
      </c>
      <c r="H2274" s="70">
        <v>550</v>
      </c>
      <c r="I2274" s="70" t="s">
        <v>313</v>
      </c>
    </row>
    <row r="2275" spans="2:9" ht="12.75">
      <c r="B2275" s="69" t="s">
        <v>287</v>
      </c>
      <c r="C2275" s="71">
        <f>(5/4)^1.55*E2275</f>
        <v>28.53296075840414</v>
      </c>
      <c r="D2275" s="70">
        <v>29.1</v>
      </c>
      <c r="E2275" s="70">
        <v>20.19</v>
      </c>
      <c r="F2275" s="72">
        <f>-((D2275-C2275)/D2275)</f>
        <v>-0.019485884590923055</v>
      </c>
      <c r="G2275" s="71">
        <f>C2275-D2275</f>
        <v>-0.5670392415958609</v>
      </c>
      <c r="H2275" s="70">
        <v>550</v>
      </c>
      <c r="I2275" s="70" t="s">
        <v>313</v>
      </c>
    </row>
    <row r="2276" spans="2:9" ht="12.75">
      <c r="B2276" s="69" t="s">
        <v>242</v>
      </c>
      <c r="C2276" s="71">
        <f>(5/4)^1.55*E2276</f>
        <v>24.491144623236437</v>
      </c>
      <c r="D2276" s="70">
        <v>24.65</v>
      </c>
      <c r="E2276" s="70">
        <v>17.33</v>
      </c>
      <c r="F2276" s="72">
        <f>-((D2276-C2276)/D2276)</f>
        <v>-0.00644443719121954</v>
      </c>
      <c r="G2276" s="71">
        <f>C2276-D2276</f>
        <v>-0.15885537676356165</v>
      </c>
      <c r="H2276" s="70">
        <v>550</v>
      </c>
      <c r="I2276" s="70" t="s">
        <v>313</v>
      </c>
    </row>
    <row r="2277" spans="2:9" ht="12.75">
      <c r="B2277" s="69" t="s">
        <v>243</v>
      </c>
      <c r="C2277" s="71">
        <f>(5/4)^1.55*E2277</f>
        <v>24.618334641475986</v>
      </c>
      <c r="D2277" s="70">
        <v>24.57</v>
      </c>
      <c r="E2277" s="70">
        <v>17.42</v>
      </c>
      <c r="F2277" s="72">
        <f>-((D2277-C2277)/D2277)</f>
        <v>0.0019672218752944956</v>
      </c>
      <c r="G2277" s="71">
        <f>C2277-D2277</f>
        <v>0.04833464147598576</v>
      </c>
      <c r="H2277" s="70">
        <v>550</v>
      </c>
      <c r="I2277" s="70" t="s">
        <v>313</v>
      </c>
    </row>
    <row r="2278" spans="2:8" ht="12.75">
      <c r="B2278" s="69"/>
      <c r="C2278" s="71"/>
      <c r="D2278" s="70"/>
      <c r="E2278" s="70" t="s">
        <v>14</v>
      </c>
      <c r="F2278" s="72">
        <f>AVERAGE(F2261:F2277)</f>
        <v>0.002040044572286031</v>
      </c>
      <c r="G2278" s="71">
        <f>AVERAGE(G2261:G2277)</f>
        <v>0.08270188676571438</v>
      </c>
      <c r="H2278" s="70"/>
    </row>
    <row r="2279" spans="2:8" ht="12.75">
      <c r="B2279" s="69"/>
      <c r="C2279" s="71"/>
      <c r="D2279" s="70"/>
      <c r="E2279" s="70"/>
      <c r="F2279" s="72"/>
      <c r="G2279" s="71"/>
      <c r="H2279" s="70"/>
    </row>
    <row r="2280" spans="1:9" ht="12.75">
      <c r="A2280" s="73" t="s">
        <v>0</v>
      </c>
      <c r="B2280" s="73" t="s">
        <v>1</v>
      </c>
      <c r="C2280" s="74" t="s">
        <v>219</v>
      </c>
      <c r="D2280" s="74" t="s">
        <v>218</v>
      </c>
      <c r="E2280" s="74" t="s">
        <v>73</v>
      </c>
      <c r="F2280" s="74" t="s">
        <v>5</v>
      </c>
      <c r="G2280" s="74" t="s">
        <v>6</v>
      </c>
      <c r="H2280" s="74" t="s">
        <v>7</v>
      </c>
      <c r="I2280" s="74" t="s">
        <v>8</v>
      </c>
    </row>
    <row r="2281" spans="1:9" ht="12.75">
      <c r="A2281" s="73" t="s">
        <v>323</v>
      </c>
      <c r="B2281" s="73" t="s">
        <v>316</v>
      </c>
      <c r="C2281" s="75">
        <f>(5/4)^2*E2281</f>
        <v>42.5</v>
      </c>
      <c r="D2281" s="74">
        <v>37.12</v>
      </c>
      <c r="E2281" s="74">
        <v>27.2</v>
      </c>
      <c r="F2281" s="76">
        <f>-((D2281-C2281)/D2281)</f>
        <v>0.1449353448275863</v>
      </c>
      <c r="G2281" s="75">
        <f>C2281-D2281</f>
        <v>5.380000000000003</v>
      </c>
      <c r="H2281" s="74">
        <v>550</v>
      </c>
      <c r="I2281" s="74" t="s">
        <v>313</v>
      </c>
    </row>
    <row r="2282" spans="1:9" ht="12.75">
      <c r="A2282" s="5"/>
      <c r="B2282" s="73" t="s">
        <v>312</v>
      </c>
      <c r="C2282" s="75">
        <f>(5/4)^2*E2282</f>
        <v>36.890625</v>
      </c>
      <c r="D2282" s="74">
        <v>32.45</v>
      </c>
      <c r="E2282" s="74">
        <v>23.61</v>
      </c>
      <c r="F2282" s="76">
        <f>-((D2282-C2282)/D2282)</f>
        <v>0.13684514637904457</v>
      </c>
      <c r="G2282" s="75">
        <f>C2282-D2282</f>
        <v>4.440624999999997</v>
      </c>
      <c r="H2282" s="74">
        <v>550</v>
      </c>
      <c r="I2282" s="74" t="s">
        <v>313</v>
      </c>
    </row>
    <row r="2283" spans="1:9" ht="12.75">
      <c r="A2283" s="5"/>
      <c r="B2283" s="73" t="s">
        <v>300</v>
      </c>
      <c r="C2283" s="75">
        <f>(5/4)^2*E2283</f>
        <v>33.359375</v>
      </c>
      <c r="D2283" s="74">
        <v>29.6</v>
      </c>
      <c r="E2283" s="74">
        <v>21.35</v>
      </c>
      <c r="F2283" s="76">
        <f>-((D2283-C2283)/D2283)</f>
        <v>0.12700591216216212</v>
      </c>
      <c r="G2283" s="75">
        <f>C2283-D2283</f>
        <v>3.7593749999999986</v>
      </c>
      <c r="H2283" s="74">
        <v>550</v>
      </c>
      <c r="I2283" s="74" t="s">
        <v>313</v>
      </c>
    </row>
    <row r="2284" spans="1:9" ht="12.75">
      <c r="A2284" s="5"/>
      <c r="B2284" s="73" t="s">
        <v>299</v>
      </c>
      <c r="C2284" s="75">
        <f>(5/4)^2*E2284</f>
        <v>24.28125</v>
      </c>
      <c r="D2284" s="74">
        <v>21.52</v>
      </c>
      <c r="E2284" s="74">
        <v>15.54</v>
      </c>
      <c r="F2284" s="76">
        <f>-((D2284-C2284)/D2284)</f>
        <v>0.12831087360594798</v>
      </c>
      <c r="G2284" s="75">
        <f>C2284-D2284</f>
        <v>2.7612500000000004</v>
      </c>
      <c r="H2284" s="74">
        <v>550</v>
      </c>
      <c r="I2284" s="74" t="s">
        <v>313</v>
      </c>
    </row>
    <row r="2285" spans="1:9" ht="12.75">
      <c r="A2285" s="5"/>
      <c r="B2285" s="73" t="s">
        <v>317</v>
      </c>
      <c r="C2285" s="75">
        <f>(5/4)^2*E2285</f>
        <v>40.25</v>
      </c>
      <c r="D2285" s="74">
        <v>36.07</v>
      </c>
      <c r="E2285" s="74">
        <v>25.76</v>
      </c>
      <c r="F2285" s="76">
        <f>-((D2285-C2285)/D2285)</f>
        <v>0.11588577765456057</v>
      </c>
      <c r="G2285" s="75">
        <f>C2285-D2285</f>
        <v>4.18</v>
      </c>
      <c r="H2285" s="74">
        <v>550</v>
      </c>
      <c r="I2285" s="74" t="s">
        <v>313</v>
      </c>
    </row>
    <row r="2286" spans="1:9" ht="12.75">
      <c r="A2286" s="5"/>
      <c r="B2286" s="73" t="s">
        <v>283</v>
      </c>
      <c r="C2286" s="75">
        <f>(5/4)^2*E2286</f>
        <v>37.671875</v>
      </c>
      <c r="D2286" s="74">
        <v>34.3</v>
      </c>
      <c r="E2286" s="74">
        <v>24.11</v>
      </c>
      <c r="F2286" s="76">
        <f>-((D2286-C2286)/D2286)</f>
        <v>0.09830539358600592</v>
      </c>
      <c r="G2286" s="75">
        <f>C2286-D2286</f>
        <v>3.371875000000003</v>
      </c>
      <c r="H2286" s="74">
        <v>550</v>
      </c>
      <c r="I2286" s="74" t="s">
        <v>313</v>
      </c>
    </row>
    <row r="2287" spans="1:9" ht="12.75">
      <c r="A2287" s="5"/>
      <c r="B2287" s="73" t="s">
        <v>288</v>
      </c>
      <c r="C2287" s="75">
        <f>(5/4)^2*E2287</f>
        <v>28.781250000000004</v>
      </c>
      <c r="D2287" s="74">
        <v>26.87</v>
      </c>
      <c r="E2287" s="74">
        <v>18.42</v>
      </c>
      <c r="F2287" s="76">
        <f>-((D2287-C2287)/D2287)</f>
        <v>0.0711295124674359</v>
      </c>
      <c r="G2287" s="75">
        <f>C2287-D2287</f>
        <v>1.9112500000000026</v>
      </c>
      <c r="H2287" s="74">
        <v>550</v>
      </c>
      <c r="I2287" s="74" t="s">
        <v>313</v>
      </c>
    </row>
    <row r="2288" spans="1:9" ht="12.75">
      <c r="A2288" s="5"/>
      <c r="B2288" s="73" t="s">
        <v>319</v>
      </c>
      <c r="C2288" s="75">
        <f>(5/4)^2*E2288</f>
        <v>38.25</v>
      </c>
      <c r="D2288" s="74">
        <v>34.38</v>
      </c>
      <c r="E2288" s="74">
        <v>24.48</v>
      </c>
      <c r="F2288" s="76">
        <f>-((D2288-C2288)/D2288)</f>
        <v>0.11256544502617792</v>
      </c>
      <c r="G2288" s="75">
        <f>C2288-D2288</f>
        <v>3.8699999999999974</v>
      </c>
      <c r="H2288" s="74">
        <v>550</v>
      </c>
      <c r="I2288" s="74" t="s">
        <v>313</v>
      </c>
    </row>
    <row r="2289" spans="1:9" ht="12.75">
      <c r="A2289" s="5"/>
      <c r="B2289" s="73" t="s">
        <v>320</v>
      </c>
      <c r="C2289" s="75">
        <f>(5/4)^2*E2289</f>
        <v>38.25</v>
      </c>
      <c r="D2289" s="74">
        <v>34.24</v>
      </c>
      <c r="E2289" s="74">
        <v>24.48</v>
      </c>
      <c r="F2289" s="76">
        <f>-((D2289-C2289)/D2289)</f>
        <v>0.11711448598130834</v>
      </c>
      <c r="G2289" s="75">
        <f>C2289-D2289</f>
        <v>4.009999999999998</v>
      </c>
      <c r="H2289" s="74">
        <v>550</v>
      </c>
      <c r="I2289" s="74" t="s">
        <v>313</v>
      </c>
    </row>
    <row r="2290" spans="1:9" ht="12.75">
      <c r="A2290" s="5"/>
      <c r="B2290" s="73" t="s">
        <v>284</v>
      </c>
      <c r="C2290" s="75">
        <f>(5/4)^2*E2290</f>
        <v>35.265625</v>
      </c>
      <c r="D2290" s="74">
        <v>33.05</v>
      </c>
      <c r="E2290" s="74">
        <v>22.57</v>
      </c>
      <c r="F2290" s="76">
        <f>-((D2290-C2290)/D2290)</f>
        <v>0.06703857791225425</v>
      </c>
      <c r="G2290" s="75">
        <f>C2290-D2290</f>
        <v>2.215625000000003</v>
      </c>
      <c r="H2290" s="74">
        <v>550</v>
      </c>
      <c r="I2290" s="74" t="s">
        <v>313</v>
      </c>
    </row>
    <row r="2291" spans="1:9" ht="12.75">
      <c r="A2291" s="5"/>
      <c r="B2291" s="73" t="s">
        <v>285</v>
      </c>
      <c r="C2291" s="75">
        <f>(5/4)^2*E2291</f>
        <v>41.5</v>
      </c>
      <c r="D2291" s="74">
        <v>37.78</v>
      </c>
      <c r="E2291" s="74">
        <v>26.56</v>
      </c>
      <c r="F2291" s="76">
        <f>-((D2291-C2291)/D2291)</f>
        <v>0.09846479618845946</v>
      </c>
      <c r="G2291" s="75">
        <f>C2291-D2291</f>
        <v>3.719999999999999</v>
      </c>
      <c r="H2291" s="74">
        <v>550</v>
      </c>
      <c r="I2291" s="74" t="s">
        <v>313</v>
      </c>
    </row>
    <row r="2292" spans="1:9" ht="12.75">
      <c r="A2292" s="5"/>
      <c r="B2292" s="73" t="s">
        <v>286</v>
      </c>
      <c r="C2292" s="75">
        <f>(5/4)^2*E2292</f>
        <v>31.421875</v>
      </c>
      <c r="D2292" s="74">
        <v>28.93</v>
      </c>
      <c r="E2292" s="74">
        <v>20.11</v>
      </c>
      <c r="F2292" s="76">
        <f>-((D2292-C2292)/D2292)</f>
        <v>0.08613463532665054</v>
      </c>
      <c r="G2292" s="75">
        <f>C2292-D2292</f>
        <v>2.4918750000000003</v>
      </c>
      <c r="H2292" s="74">
        <v>550</v>
      </c>
      <c r="I2292" s="74" t="s">
        <v>313</v>
      </c>
    </row>
    <row r="2293" spans="1:9" ht="12.75">
      <c r="A2293" s="5"/>
      <c r="B2293" s="73" t="s">
        <v>289</v>
      </c>
      <c r="C2293" s="75">
        <f>(5/4)^2*E2293</f>
        <v>29.390624999999996</v>
      </c>
      <c r="D2293" s="74">
        <v>26.78</v>
      </c>
      <c r="E2293" s="74">
        <v>18.81</v>
      </c>
      <c r="F2293" s="76">
        <f>-((D2293-C2293)/D2293)</f>
        <v>0.097484129947722</v>
      </c>
      <c r="G2293" s="75">
        <f>C2293-D2293</f>
        <v>2.6106249999999953</v>
      </c>
      <c r="H2293" s="74">
        <v>550</v>
      </c>
      <c r="I2293" s="74" t="s">
        <v>313</v>
      </c>
    </row>
    <row r="2294" spans="1:9" ht="12.75">
      <c r="A2294" s="5"/>
      <c r="B2294" s="73" t="s">
        <v>308</v>
      </c>
      <c r="C2294" s="75">
        <f>(5/4)^2*E2294</f>
        <v>37.734375</v>
      </c>
      <c r="D2294" s="74">
        <v>33.03</v>
      </c>
      <c r="E2294" s="74">
        <v>24.15</v>
      </c>
      <c r="F2294" s="76">
        <f>-((D2294-C2294)/D2294)</f>
        <v>0.14242733878292457</v>
      </c>
      <c r="G2294" s="75">
        <f>C2294-D2294</f>
        <v>4.704374999999999</v>
      </c>
      <c r="H2294" s="74">
        <v>550</v>
      </c>
      <c r="I2294" s="74" t="s">
        <v>313</v>
      </c>
    </row>
    <row r="2295" spans="1:9" ht="12.75">
      <c r="A2295" s="5"/>
      <c r="B2295" s="73" t="s">
        <v>287</v>
      </c>
      <c r="C2295" s="75">
        <f>(5/4)^2*E2295</f>
        <v>31.546875000000004</v>
      </c>
      <c r="D2295" s="74">
        <v>29.1</v>
      </c>
      <c r="E2295" s="74">
        <v>20.19</v>
      </c>
      <c r="F2295" s="76">
        <f>-((D2295-C2295)/D2295)</f>
        <v>0.08408505154639183</v>
      </c>
      <c r="G2295" s="75">
        <f>C2295-D2295</f>
        <v>2.446875000000002</v>
      </c>
      <c r="H2295" s="74">
        <v>550</v>
      </c>
      <c r="I2295" s="74" t="s">
        <v>313</v>
      </c>
    </row>
    <row r="2296" spans="1:9" ht="12.75">
      <c r="A2296" s="5"/>
      <c r="B2296" s="73" t="s">
        <v>242</v>
      </c>
      <c r="C2296" s="75">
        <f>(5/4)^2*E2296</f>
        <v>27.078124999999996</v>
      </c>
      <c r="D2296" s="74">
        <v>24.65</v>
      </c>
      <c r="E2296" s="74">
        <v>17.33</v>
      </c>
      <c r="F2296" s="76">
        <f>-((D2296-C2296)/D2296)</f>
        <v>0.09850405679513176</v>
      </c>
      <c r="G2296" s="75">
        <f>C2296-D2296</f>
        <v>2.428124999999998</v>
      </c>
      <c r="H2296" s="74">
        <v>550</v>
      </c>
      <c r="I2296" s="74" t="s">
        <v>313</v>
      </c>
    </row>
    <row r="2297" spans="1:9" ht="12.75">
      <c r="A2297" s="5"/>
      <c r="B2297" s="73" t="s">
        <v>243</v>
      </c>
      <c r="C2297" s="75">
        <f>(5/4)^2*E2297</f>
        <v>27.218750000000004</v>
      </c>
      <c r="D2297" s="74">
        <v>24.57</v>
      </c>
      <c r="E2297" s="74">
        <v>17.42</v>
      </c>
      <c r="F2297" s="76">
        <f>-((D2297-C2297)/D2297)</f>
        <v>0.10780423280423293</v>
      </c>
      <c r="G2297" s="75">
        <f>C2297-D2297</f>
        <v>2.6487500000000033</v>
      </c>
      <c r="H2297" s="74">
        <v>550</v>
      </c>
      <c r="I2297" s="74" t="s">
        <v>313</v>
      </c>
    </row>
    <row r="2298" spans="1:8" ht="12.75">
      <c r="A2298" s="5"/>
      <c r="B2298" s="73"/>
      <c r="C2298" s="75"/>
      <c r="D2298" s="74"/>
      <c r="E2298" s="74" t="s">
        <v>14</v>
      </c>
      <c r="F2298" s="76">
        <f>AVERAGE(F2281:F2297)</f>
        <v>0.10788474770552925</v>
      </c>
      <c r="G2298" s="75">
        <f>AVERAGE(G2281:G2297)</f>
        <v>3.350036764705882</v>
      </c>
      <c r="H2298" s="74"/>
    </row>
    <row r="2299" spans="1:8" ht="12.75">
      <c r="A2299" s="5"/>
      <c r="B2299" s="73"/>
      <c r="C2299" s="75"/>
      <c r="D2299" s="74"/>
      <c r="E2299" s="74"/>
      <c r="F2299" s="76"/>
      <c r="G2299" s="75"/>
      <c r="H2299" s="74"/>
    </row>
    <row r="2300" spans="1:9" ht="12.75">
      <c r="A2300" s="79" t="s">
        <v>0</v>
      </c>
      <c r="B2300" s="79" t="s">
        <v>1</v>
      </c>
      <c r="C2300" s="80" t="s">
        <v>324</v>
      </c>
      <c r="D2300" s="80" t="s">
        <v>218</v>
      </c>
      <c r="E2300" s="80" t="s">
        <v>73</v>
      </c>
      <c r="F2300" s="80" t="s">
        <v>5</v>
      </c>
      <c r="G2300" s="80" t="s">
        <v>6</v>
      </c>
      <c r="H2300" s="80" t="s">
        <v>7</v>
      </c>
      <c r="I2300" s="80" t="s">
        <v>8</v>
      </c>
    </row>
    <row r="2301" spans="1:9" ht="12.75">
      <c r="A2301" s="79" t="s">
        <v>323</v>
      </c>
      <c r="B2301" s="79" t="s">
        <v>300</v>
      </c>
      <c r="C2301" s="81">
        <f>(6/5)^1.6*E2301</f>
        <v>39.626134083843475</v>
      </c>
      <c r="D2301" s="80">
        <v>38.54</v>
      </c>
      <c r="E2301" s="80">
        <v>29.6</v>
      </c>
      <c r="F2301" s="82">
        <f>-((D2301-C2301)/D2301)</f>
        <v>0.02818199491031333</v>
      </c>
      <c r="G2301" s="81">
        <f>C2301-D2301</f>
        <v>1.0861340838434757</v>
      </c>
      <c r="H2301" s="80">
        <v>550</v>
      </c>
      <c r="I2301" s="80" t="s">
        <v>313</v>
      </c>
    </row>
    <row r="2302" spans="2:9" ht="12.75">
      <c r="B2302" s="79" t="s">
        <v>299</v>
      </c>
      <c r="C2302" s="81">
        <f>(6/5)^1.6*E2302</f>
        <v>28.809270455551065</v>
      </c>
      <c r="D2302" s="80">
        <v>28.43</v>
      </c>
      <c r="E2302" s="80">
        <v>21.52</v>
      </c>
      <c r="F2302" s="82">
        <f>-((D2302-C2302)/D2302)</f>
        <v>0.013340501426347707</v>
      </c>
      <c r="G2302" s="81">
        <f>C2302-D2302</f>
        <v>0.3792704555510653</v>
      </c>
      <c r="H2302" s="80">
        <v>550</v>
      </c>
      <c r="I2302" s="80" t="s">
        <v>313</v>
      </c>
    </row>
    <row r="2303" spans="2:9" ht="12.75">
      <c r="B2303" s="79" t="s">
        <v>301</v>
      </c>
      <c r="C2303" s="81">
        <f>(6/5)^1.6*E2303</f>
        <v>28.03281242282711</v>
      </c>
      <c r="D2303" s="80">
        <v>27.59</v>
      </c>
      <c r="E2303" s="80">
        <v>20.94</v>
      </c>
      <c r="F2303" s="82">
        <f>-((D2303-C2303)/D2303)</f>
        <v>0.01604974348775318</v>
      </c>
      <c r="G2303" s="81">
        <f>C2303-D2303</f>
        <v>0.4428124228271102</v>
      </c>
      <c r="H2303" s="80">
        <v>550</v>
      </c>
      <c r="I2303" s="80" t="s">
        <v>313</v>
      </c>
    </row>
    <row r="2304" spans="2:9" ht="12.75">
      <c r="B2304" s="79" t="s">
        <v>91</v>
      </c>
      <c r="C2304" s="81">
        <f>(6/5)^1.6*E2304</f>
        <v>26.051505718634935</v>
      </c>
      <c r="D2304" s="80">
        <v>25.2</v>
      </c>
      <c r="E2304" s="80">
        <v>19.46</v>
      </c>
      <c r="F2304" s="82">
        <f>-((D2304-C2304)/D2304)</f>
        <v>0.03378990946964032</v>
      </c>
      <c r="G2304" s="81">
        <f>C2304-D2304</f>
        <v>0.851505718634936</v>
      </c>
      <c r="H2304" s="80">
        <v>550</v>
      </c>
      <c r="I2304" s="80" t="s">
        <v>313</v>
      </c>
    </row>
    <row r="2305" spans="2:9" ht="12.75">
      <c r="B2305" s="79" t="s">
        <v>92</v>
      </c>
      <c r="C2305" s="81">
        <f>(6/5)^1.6*E2305</f>
        <v>21.43291914467345</v>
      </c>
      <c r="D2305" s="80">
        <v>21.13</v>
      </c>
      <c r="E2305" s="80">
        <v>16.01</v>
      </c>
      <c r="F2305" s="82">
        <f>-((D2305-C2305)/D2305)</f>
        <v>0.014335974665094623</v>
      </c>
      <c r="G2305" s="81">
        <f>C2305-D2305</f>
        <v>0.3029191446734494</v>
      </c>
      <c r="H2305" s="80">
        <v>550</v>
      </c>
      <c r="I2305" s="80" t="s">
        <v>313</v>
      </c>
    </row>
    <row r="2306" spans="2:9" ht="12.75">
      <c r="B2306" s="79" t="s">
        <v>289</v>
      </c>
      <c r="C2306" s="81">
        <f>(6/5)^1.6*E2306</f>
        <v>35.85094157990974</v>
      </c>
      <c r="D2306" s="80">
        <v>36.8</v>
      </c>
      <c r="E2306" s="80">
        <v>26.78</v>
      </c>
      <c r="F2306" s="82">
        <f>-((D2306-C2306)/D2306)</f>
        <v>-0.025789630980713598</v>
      </c>
      <c r="G2306" s="81">
        <f>C2306-D2306</f>
        <v>-0.9490584200902603</v>
      </c>
      <c r="H2306" s="80">
        <v>550</v>
      </c>
      <c r="I2306" s="80" t="s">
        <v>313</v>
      </c>
    </row>
    <row r="2307" spans="2:9" ht="12.75">
      <c r="B2307" s="79" t="s">
        <v>96</v>
      </c>
      <c r="C2307" s="81">
        <f>(6/5)^1.6*E2307</f>
        <v>22.90551196535682</v>
      </c>
      <c r="D2307" s="80">
        <v>23.12</v>
      </c>
      <c r="E2307" s="80">
        <v>17.11</v>
      </c>
      <c r="F2307" s="82">
        <f>-((D2307-C2307)/D2307)</f>
        <v>-0.009277164128165306</v>
      </c>
      <c r="G2307" s="81">
        <f>C2307-D2307</f>
        <v>-0.2144880346431819</v>
      </c>
      <c r="H2307" s="80">
        <v>550</v>
      </c>
      <c r="I2307" s="80" t="s">
        <v>313</v>
      </c>
    </row>
    <row r="2308" spans="2:9" ht="12.75">
      <c r="B2308" s="79" t="s">
        <v>287</v>
      </c>
      <c r="C2308" s="81">
        <f>(6/5)^1.6*E2308</f>
        <v>38.95677371080558</v>
      </c>
      <c r="D2308" s="80">
        <v>39.43</v>
      </c>
      <c r="E2308" s="80">
        <v>29.1</v>
      </c>
      <c r="F2308" s="82">
        <f>-((D2308-C2308)/D2308)</f>
        <v>-0.012001681186772044</v>
      </c>
      <c r="G2308" s="81">
        <f>C2308-D2308</f>
        <v>-0.47322628919442167</v>
      </c>
      <c r="H2308" s="80">
        <v>550</v>
      </c>
      <c r="I2308" s="80" t="s">
        <v>313</v>
      </c>
    </row>
    <row r="2309" spans="2:9" ht="12.75">
      <c r="B2309" s="79" t="s">
        <v>242</v>
      </c>
      <c r="C2309" s="81">
        <f>(6/5)^1.6*E2309</f>
        <v>32.9994663907683</v>
      </c>
      <c r="D2309" s="80">
        <v>32.94</v>
      </c>
      <c r="E2309" s="80">
        <v>24.65</v>
      </c>
      <c r="F2309" s="82">
        <f>-((D2309-C2309)/D2309)</f>
        <v>0.0018052941945446255</v>
      </c>
      <c r="G2309" s="81">
        <f>C2309-D2309</f>
        <v>0.05946639076829996</v>
      </c>
      <c r="H2309" s="80">
        <v>550</v>
      </c>
      <c r="I2309" s="80" t="s">
        <v>313</v>
      </c>
    </row>
    <row r="2310" spans="2:9" ht="12.75">
      <c r="B2310" s="79" t="s">
        <v>148</v>
      </c>
      <c r="C2310" s="81">
        <f>(6/5)^1.6*E2310</f>
        <v>26.787802128976622</v>
      </c>
      <c r="D2310" s="80">
        <v>27.07</v>
      </c>
      <c r="E2310" s="80">
        <v>20.01</v>
      </c>
      <c r="F2310" s="82">
        <f>-((D2310-C2310)/D2310)</f>
        <v>-0.010424745881912742</v>
      </c>
      <c r="G2310" s="81">
        <f>C2310-D2310</f>
        <v>-0.2821978710233779</v>
      </c>
      <c r="H2310" s="80">
        <v>550</v>
      </c>
      <c r="I2310" s="80" t="s">
        <v>313</v>
      </c>
    </row>
    <row r="2311" spans="2:9" ht="12.75">
      <c r="B2311" s="79" t="s">
        <v>243</v>
      </c>
      <c r="C2311" s="81">
        <f>(6/5)^1.6*E2311</f>
        <v>32.892368731082236</v>
      </c>
      <c r="D2311" s="80">
        <v>32.83</v>
      </c>
      <c r="E2311" s="80">
        <v>24.57</v>
      </c>
      <c r="F2311" s="82">
        <f>-((D2311-C2311)/D2311)</f>
        <v>0.0018997481292183252</v>
      </c>
      <c r="G2311" s="81">
        <f>C2311-D2311</f>
        <v>0.062368731082237616</v>
      </c>
      <c r="H2311" s="80">
        <v>550</v>
      </c>
      <c r="I2311" s="80" t="s">
        <v>313</v>
      </c>
    </row>
    <row r="2312" spans="2:9" ht="12.75">
      <c r="B2312" s="79" t="s">
        <v>244</v>
      </c>
      <c r="C2312" s="81">
        <f>(6/5)^1.6*E2312</f>
        <v>28.39426702426757</v>
      </c>
      <c r="D2312" s="80">
        <v>28.51</v>
      </c>
      <c r="E2312" s="80">
        <v>21.21</v>
      </c>
      <c r="F2312" s="82">
        <f>-((D2312-C2312)/D2312)</f>
        <v>-0.004059381821551429</v>
      </c>
      <c r="G2312" s="81">
        <f>C2312-D2312</f>
        <v>-0.11573297573243124</v>
      </c>
      <c r="H2312" s="80">
        <v>550</v>
      </c>
      <c r="I2312" s="80" t="s">
        <v>313</v>
      </c>
    </row>
    <row r="2313" spans="2:9" ht="12.75">
      <c r="B2313" s="79" t="s">
        <v>122</v>
      </c>
      <c r="C2313" s="81">
        <f>(6/5)^1.6*E2313</f>
        <v>26.038118511174176</v>
      </c>
      <c r="D2313" s="80">
        <v>26.51</v>
      </c>
      <c r="E2313" s="80">
        <v>19.45</v>
      </c>
      <c r="F2313" s="82">
        <f>-((D2313-C2313)/D2313)</f>
        <v>-0.017800131604142806</v>
      </c>
      <c r="G2313" s="81">
        <f>C2313-D2313</f>
        <v>-0.4718814888258258</v>
      </c>
      <c r="H2313" s="80">
        <v>550</v>
      </c>
      <c r="I2313" s="80" t="s">
        <v>313</v>
      </c>
    </row>
    <row r="2314" spans="2:9" ht="12.75">
      <c r="B2314" s="79" t="s">
        <v>97</v>
      </c>
      <c r="C2314" s="81">
        <f>(6/5)^1.6*E2314</f>
        <v>24.07019901444276</v>
      </c>
      <c r="D2314" s="80">
        <v>24.42</v>
      </c>
      <c r="E2314" s="80">
        <v>17.98</v>
      </c>
      <c r="F2314" s="82">
        <f>-((D2314-C2314)/D2314)</f>
        <v>-0.014324364682933712</v>
      </c>
      <c r="G2314" s="81">
        <f>C2314-D2314</f>
        <v>-0.34980098555724126</v>
      </c>
      <c r="H2314" s="80">
        <v>550</v>
      </c>
      <c r="I2314" s="80" t="s">
        <v>313</v>
      </c>
    </row>
    <row r="2315" spans="2:9" ht="12.75">
      <c r="B2315" s="79" t="s">
        <v>101</v>
      </c>
      <c r="C2315" s="81">
        <f>(6/5)^1.6*E2315</f>
        <v>28.113135667591653</v>
      </c>
      <c r="D2315" s="80">
        <v>27.86</v>
      </c>
      <c r="E2315" s="80">
        <v>21</v>
      </c>
      <c r="F2315" s="82">
        <f>-((D2315-C2315)/D2315)</f>
        <v>0.009085989504366598</v>
      </c>
      <c r="G2315" s="81">
        <f>C2315-D2315</f>
        <v>0.2531356675916534</v>
      </c>
      <c r="H2315" s="80">
        <v>550</v>
      </c>
      <c r="I2315" s="80" t="s">
        <v>313</v>
      </c>
    </row>
    <row r="2316" spans="2:9" ht="12.75">
      <c r="B2316" s="79"/>
      <c r="C2316" s="81"/>
      <c r="D2316" s="80"/>
      <c r="E2316" s="80" t="s">
        <v>14</v>
      </c>
      <c r="F2316" s="82">
        <f>AVERAGE(F2301:F2315)</f>
        <v>0.0016541370334058046</v>
      </c>
      <c r="G2316" s="81">
        <f>AVERAGE(G2301:G2315)</f>
        <v>0.03874843666036583</v>
      </c>
      <c r="H2316" s="80"/>
      <c r="I2316" s="70"/>
    </row>
    <row r="2317" ht="12.75">
      <c r="I2317" s="70"/>
    </row>
    <row r="2318" spans="1:9" ht="12.75">
      <c r="A2318" s="83" t="s">
        <v>0</v>
      </c>
      <c r="B2318" s="83" t="s">
        <v>1</v>
      </c>
      <c r="C2318" s="84" t="s">
        <v>247</v>
      </c>
      <c r="D2318" s="84" t="s">
        <v>218</v>
      </c>
      <c r="E2318" s="84" t="s">
        <v>73</v>
      </c>
      <c r="F2318" s="84" t="s">
        <v>5</v>
      </c>
      <c r="G2318" s="84" t="s">
        <v>6</v>
      </c>
      <c r="H2318" s="84" t="s">
        <v>7</v>
      </c>
      <c r="I2318" s="84" t="s">
        <v>8</v>
      </c>
    </row>
    <row r="2319" spans="1:9" ht="12.75">
      <c r="A2319" s="83" t="s">
        <v>323</v>
      </c>
      <c r="B2319" s="83" t="s">
        <v>300</v>
      </c>
      <c r="C2319" s="85">
        <f>(6/5)^2*E2319</f>
        <v>42.624</v>
      </c>
      <c r="D2319" s="84">
        <v>38.54</v>
      </c>
      <c r="E2319" s="84">
        <v>29.6</v>
      </c>
      <c r="F2319" s="86">
        <f>-((D2319-C2319)/D2319)</f>
        <v>0.10596782563570326</v>
      </c>
      <c r="G2319" s="85">
        <f>C2319-D2319</f>
        <v>4.084000000000003</v>
      </c>
      <c r="H2319" s="84">
        <v>550</v>
      </c>
      <c r="I2319" s="84" t="s">
        <v>313</v>
      </c>
    </row>
    <row r="2320" spans="1:9" ht="12.75">
      <c r="A2320" s="5"/>
      <c r="B2320" s="83" t="s">
        <v>299</v>
      </c>
      <c r="C2320" s="85">
        <f>(6/5)^2*E2320</f>
        <v>30.988799999999998</v>
      </c>
      <c r="D2320" s="84">
        <v>28.43</v>
      </c>
      <c r="E2320" s="84">
        <v>21.52</v>
      </c>
      <c r="F2320" s="86">
        <f>-((D2320-C2320)/D2320)</f>
        <v>0.0900035174111853</v>
      </c>
      <c r="G2320" s="85">
        <f>C2320-D2320</f>
        <v>2.558799999999998</v>
      </c>
      <c r="H2320" s="84">
        <v>550</v>
      </c>
      <c r="I2320" s="84" t="s">
        <v>313</v>
      </c>
    </row>
    <row r="2321" spans="1:9" ht="12.75">
      <c r="A2321" s="5"/>
      <c r="B2321" s="83" t="s">
        <v>301</v>
      </c>
      <c r="C2321" s="85">
        <f>(6/5)^2*E2321</f>
        <v>30.1536</v>
      </c>
      <c r="D2321" s="84">
        <v>27.59</v>
      </c>
      <c r="E2321" s="84">
        <v>20.94</v>
      </c>
      <c r="F2321" s="86">
        <f>-((D2321-C2321)/D2321)</f>
        <v>0.09291772381297575</v>
      </c>
      <c r="G2321" s="85">
        <f>C2321-D2321</f>
        <v>2.563600000000001</v>
      </c>
      <c r="H2321" s="84">
        <v>550</v>
      </c>
      <c r="I2321" s="84" t="s">
        <v>313</v>
      </c>
    </row>
    <row r="2322" spans="1:9" ht="12.75">
      <c r="A2322" s="5"/>
      <c r="B2322" s="83" t="s">
        <v>91</v>
      </c>
      <c r="C2322" s="85">
        <f>(6/5)^2*E2322</f>
        <v>28.0224</v>
      </c>
      <c r="D2322" s="84">
        <v>25.2</v>
      </c>
      <c r="E2322" s="84">
        <v>19.46</v>
      </c>
      <c r="F2322" s="86">
        <f>-((D2322-C2322)/D2322)</f>
        <v>0.11200000000000007</v>
      </c>
      <c r="G2322" s="85">
        <f>C2322-D2322</f>
        <v>2.822400000000002</v>
      </c>
      <c r="H2322" s="84">
        <v>550</v>
      </c>
      <c r="I2322" s="84" t="s">
        <v>313</v>
      </c>
    </row>
    <row r="2323" spans="1:9" ht="12.75">
      <c r="A2323" s="5"/>
      <c r="B2323" s="83" t="s">
        <v>92</v>
      </c>
      <c r="C2323" s="85">
        <f>(6/5)^2*E2323</f>
        <v>23.0544</v>
      </c>
      <c r="D2323" s="84">
        <v>21.13</v>
      </c>
      <c r="E2323" s="84">
        <v>16.01</v>
      </c>
      <c r="F2323" s="86">
        <f>-((D2323-C2323)/D2323)</f>
        <v>0.09107430194036925</v>
      </c>
      <c r="G2323" s="85">
        <f>C2323-D2323</f>
        <v>1.924400000000002</v>
      </c>
      <c r="H2323" s="84">
        <v>550</v>
      </c>
      <c r="I2323" s="84" t="s">
        <v>313</v>
      </c>
    </row>
    <row r="2324" spans="1:9" ht="12.75">
      <c r="A2324" s="5"/>
      <c r="B2324" s="83" t="s">
        <v>289</v>
      </c>
      <c r="C2324" s="85">
        <f>(6/5)^2*E2324</f>
        <v>38.5632</v>
      </c>
      <c r="D2324" s="84">
        <v>36.8</v>
      </c>
      <c r="E2324" s="84">
        <v>26.78</v>
      </c>
      <c r="F2324" s="86">
        <f>-((D2324-C2324)/D2324)</f>
        <v>0.047913043478261</v>
      </c>
      <c r="G2324" s="85">
        <f>C2324-D2324</f>
        <v>1.7632000000000048</v>
      </c>
      <c r="H2324" s="84">
        <v>550</v>
      </c>
      <c r="I2324" s="84" t="s">
        <v>313</v>
      </c>
    </row>
    <row r="2325" spans="1:9" ht="12.75">
      <c r="A2325" s="5"/>
      <c r="B2325" s="83" t="s">
        <v>96</v>
      </c>
      <c r="C2325" s="85">
        <f>(6/5)^2*E2325</f>
        <v>24.638399999999997</v>
      </c>
      <c r="D2325" s="84">
        <v>23.12</v>
      </c>
      <c r="E2325" s="84">
        <v>17.11</v>
      </c>
      <c r="F2325" s="86">
        <f>-((D2325-C2325)/D2325)</f>
        <v>0.0656747404844289</v>
      </c>
      <c r="G2325" s="85">
        <f>C2325-D2325</f>
        <v>1.5183999999999962</v>
      </c>
      <c r="H2325" s="84">
        <v>550</v>
      </c>
      <c r="I2325" s="84" t="s">
        <v>313</v>
      </c>
    </row>
    <row r="2326" spans="1:9" ht="12.75">
      <c r="A2326" s="5"/>
      <c r="B2326" s="83" t="s">
        <v>287</v>
      </c>
      <c r="C2326" s="85">
        <f>(6/5)^2*E2326</f>
        <v>41.904</v>
      </c>
      <c r="D2326" s="84">
        <v>39.43</v>
      </c>
      <c r="E2326" s="84">
        <v>29.1</v>
      </c>
      <c r="F2326" s="86">
        <f>-((D2326-C2326)/D2326)</f>
        <v>0.06274410347451188</v>
      </c>
      <c r="G2326" s="85">
        <f>C2326-D2326</f>
        <v>2.4740000000000038</v>
      </c>
      <c r="H2326" s="84">
        <v>550</v>
      </c>
      <c r="I2326" s="84" t="s">
        <v>313</v>
      </c>
    </row>
    <row r="2327" spans="1:9" ht="12.75">
      <c r="A2327" s="5"/>
      <c r="B2327" s="83" t="s">
        <v>242</v>
      </c>
      <c r="C2327" s="85">
        <f>(6/5)^2*E2327</f>
        <v>35.495999999999995</v>
      </c>
      <c r="D2327" s="84">
        <v>32.94</v>
      </c>
      <c r="E2327" s="84">
        <v>24.65</v>
      </c>
      <c r="F2327" s="86">
        <f>-((D2327-C2327)/D2327)</f>
        <v>0.07759562841530047</v>
      </c>
      <c r="G2327" s="85">
        <f>C2327-D2327</f>
        <v>2.5559999999999974</v>
      </c>
      <c r="H2327" s="84">
        <v>550</v>
      </c>
      <c r="I2327" s="84" t="s">
        <v>313</v>
      </c>
    </row>
    <row r="2328" spans="1:9" ht="12.75">
      <c r="A2328" s="5"/>
      <c r="B2328" s="83" t="s">
        <v>148</v>
      </c>
      <c r="C2328" s="85">
        <f>(6/5)^2*E2328</f>
        <v>28.814400000000003</v>
      </c>
      <c r="D2328" s="84">
        <v>27.07</v>
      </c>
      <c r="E2328" s="84">
        <v>20.01</v>
      </c>
      <c r="F2328" s="86">
        <f>-((D2328-C2328)/D2328)</f>
        <v>0.06444033985962329</v>
      </c>
      <c r="G2328" s="85">
        <f>C2328-D2328</f>
        <v>1.7444000000000024</v>
      </c>
      <c r="H2328" s="84">
        <v>550</v>
      </c>
      <c r="I2328" s="84" t="s">
        <v>313</v>
      </c>
    </row>
    <row r="2329" spans="1:9" ht="12.75">
      <c r="A2329" s="5"/>
      <c r="B2329" s="83" t="s">
        <v>243</v>
      </c>
      <c r="C2329" s="85">
        <f>(6/5)^2*E2329</f>
        <v>35.3808</v>
      </c>
      <c r="D2329" s="84">
        <v>32.83</v>
      </c>
      <c r="E2329" s="84">
        <v>24.57</v>
      </c>
      <c r="F2329" s="86">
        <f>-((D2329-C2329)/D2329)</f>
        <v>0.07769722814498942</v>
      </c>
      <c r="G2329" s="85">
        <f>C2329-D2329</f>
        <v>2.5508000000000024</v>
      </c>
      <c r="H2329" s="84">
        <v>550</v>
      </c>
      <c r="I2329" s="84" t="s">
        <v>313</v>
      </c>
    </row>
    <row r="2330" spans="1:9" ht="12.75">
      <c r="A2330" s="5"/>
      <c r="B2330" s="83" t="s">
        <v>244</v>
      </c>
      <c r="C2330" s="85">
        <f>(6/5)^2*E2330</f>
        <v>30.5424</v>
      </c>
      <c r="D2330" s="84">
        <v>28.51</v>
      </c>
      <c r="E2330" s="84">
        <v>21.21</v>
      </c>
      <c r="F2330" s="86">
        <f>-((D2330-C2330)/D2330)</f>
        <v>0.07128726762539456</v>
      </c>
      <c r="G2330" s="85">
        <f>C2330-D2330</f>
        <v>2.032399999999999</v>
      </c>
      <c r="H2330" s="84">
        <v>550</v>
      </c>
      <c r="I2330" s="84" t="s">
        <v>313</v>
      </c>
    </row>
    <row r="2331" spans="1:9" ht="12.75">
      <c r="A2331" s="5"/>
      <c r="B2331" s="83" t="s">
        <v>122</v>
      </c>
      <c r="C2331" s="85">
        <f>(6/5)^2*E2331</f>
        <v>28.008</v>
      </c>
      <c r="D2331" s="84">
        <v>26.51</v>
      </c>
      <c r="E2331" s="84">
        <v>19.45</v>
      </c>
      <c r="F2331" s="86">
        <f>-((D2331-C2331)/D2331)</f>
        <v>0.056506978498679646</v>
      </c>
      <c r="G2331" s="85">
        <f>C2331-D2331</f>
        <v>1.4979999999999976</v>
      </c>
      <c r="H2331" s="84">
        <v>550</v>
      </c>
      <c r="I2331" s="84" t="s">
        <v>313</v>
      </c>
    </row>
    <row r="2332" spans="1:9" ht="12.75">
      <c r="A2332" s="5"/>
      <c r="B2332" s="83" t="s">
        <v>97</v>
      </c>
      <c r="C2332" s="85">
        <f>(6/5)^2*E2332</f>
        <v>25.8912</v>
      </c>
      <c r="D2332" s="84">
        <v>24.42</v>
      </c>
      <c r="E2332" s="84">
        <v>17.98</v>
      </c>
      <c r="F2332" s="86">
        <f>-((D2332-C2332)/D2332)</f>
        <v>0.06024570024570022</v>
      </c>
      <c r="G2332" s="85">
        <f>C2332-D2332</f>
        <v>1.4711999999999996</v>
      </c>
      <c r="H2332" s="84">
        <v>550</v>
      </c>
      <c r="I2332" s="84" t="s">
        <v>313</v>
      </c>
    </row>
    <row r="2333" spans="1:9" ht="12.75">
      <c r="A2333" s="5"/>
      <c r="B2333" s="83" t="s">
        <v>101</v>
      </c>
      <c r="C2333" s="85">
        <f>(6/5)^2*E2333</f>
        <v>30.24</v>
      </c>
      <c r="D2333" s="84">
        <v>27.86</v>
      </c>
      <c r="E2333" s="84">
        <v>21</v>
      </c>
      <c r="F2333" s="86">
        <f>-((D2333-C2333)/D2333)</f>
        <v>0.08542713567839193</v>
      </c>
      <c r="G2333" s="85">
        <f>C2333-D2333</f>
        <v>2.379999999999999</v>
      </c>
      <c r="H2333" s="84">
        <v>550</v>
      </c>
      <c r="I2333" s="84" t="s">
        <v>313</v>
      </c>
    </row>
    <row r="2334" spans="1:8" ht="12.75">
      <c r="A2334" s="5"/>
      <c r="B2334" s="83"/>
      <c r="C2334" s="85"/>
      <c r="D2334" s="84"/>
      <c r="E2334" s="84" t="s">
        <v>14</v>
      </c>
      <c r="F2334" s="86">
        <f>AVERAGE(F2319:F2333)</f>
        <v>0.07743303564703433</v>
      </c>
      <c r="G2334" s="85">
        <f>AVERAGE(G2319:G2333)</f>
        <v>2.262773333333334</v>
      </c>
      <c r="H2334" s="84"/>
    </row>
    <row r="2335" spans="2:8" ht="12.75">
      <c r="B2335" s="20"/>
      <c r="C2335" s="20"/>
      <c r="D2335" s="16"/>
      <c r="E2335" s="16"/>
      <c r="F2335" s="16"/>
      <c r="G2335" s="16"/>
      <c r="H2335" s="16"/>
    </row>
    <row r="2336" spans="1:9" ht="12.75">
      <c r="A2336" s="20" t="s">
        <v>0</v>
      </c>
      <c r="B2336" s="20" t="s">
        <v>1</v>
      </c>
      <c r="C2336" s="16" t="s">
        <v>325</v>
      </c>
      <c r="D2336" s="16" t="s">
        <v>73</v>
      </c>
      <c r="E2336" s="16" t="s">
        <v>3</v>
      </c>
      <c r="F2336" s="16" t="s">
        <v>5</v>
      </c>
      <c r="G2336" s="16" t="s">
        <v>6</v>
      </c>
      <c r="H2336" s="16" t="s">
        <v>7</v>
      </c>
      <c r="I2336" s="16" t="s">
        <v>8</v>
      </c>
    </row>
    <row r="2337" spans="1:9" ht="12.75">
      <c r="A2337" s="20" t="s">
        <v>326</v>
      </c>
      <c r="B2337" s="20" t="s">
        <v>316</v>
      </c>
      <c r="C2337" s="21">
        <f>(4/3)^1.57*E2337</f>
        <v>69.02618467861686</v>
      </c>
      <c r="D2337" s="16">
        <v>65.48</v>
      </c>
      <c r="E2337" s="16">
        <v>43.94</v>
      </c>
      <c r="F2337" s="22">
        <f>-((D2337-C2337)/D2337)</f>
        <v>0.05415676051644553</v>
      </c>
      <c r="G2337" s="21">
        <f>C2337-D2337</f>
        <v>3.5461846786168536</v>
      </c>
      <c r="H2337" s="16">
        <v>780</v>
      </c>
      <c r="I2337" s="16">
        <v>253</v>
      </c>
    </row>
    <row r="2338" spans="2:9" ht="12.75">
      <c r="B2338" s="20" t="s">
        <v>312</v>
      </c>
      <c r="C2338" s="21">
        <f>(4/3)^1.57*E2338</f>
        <v>59.83630802022113</v>
      </c>
      <c r="D2338" s="16">
        <v>57.77</v>
      </c>
      <c r="E2338" s="16">
        <v>38.09</v>
      </c>
      <c r="F2338" s="22">
        <f>-((D2338-C2338)/D2338)</f>
        <v>0.03576783832821757</v>
      </c>
      <c r="G2338" s="21">
        <f>C2338-D2338</f>
        <v>2.066308020221129</v>
      </c>
      <c r="H2338" s="16">
        <v>780</v>
      </c>
      <c r="I2338" s="16">
        <v>253</v>
      </c>
    </row>
    <row r="2339" spans="2:9" ht="12.75">
      <c r="B2339" s="20" t="s">
        <v>300</v>
      </c>
      <c r="C2339" s="21">
        <f>(4/3)^1.57*E2339</f>
        <v>53.72543277215969</v>
      </c>
      <c r="D2339" s="16">
        <v>52.99</v>
      </c>
      <c r="E2339" s="16">
        <v>34.2</v>
      </c>
      <c r="F2339" s="22">
        <f>-((D2339-C2339)/D2339)</f>
        <v>0.013878708665025292</v>
      </c>
      <c r="G2339" s="21">
        <f>C2339-D2339</f>
        <v>0.7354327721596903</v>
      </c>
      <c r="H2339" s="16">
        <v>780</v>
      </c>
      <c r="I2339" s="16">
        <v>253</v>
      </c>
    </row>
    <row r="2340" spans="2:9" ht="12.75">
      <c r="B2340" s="20" t="s">
        <v>299</v>
      </c>
      <c r="C2340" s="21">
        <f>(4/3)^1.57*E2340</f>
        <v>39.618579371750506</v>
      </c>
      <c r="D2340" s="16">
        <v>39.6</v>
      </c>
      <c r="E2340" s="16">
        <v>25.22</v>
      </c>
      <c r="F2340" s="22">
        <f>-((D2340-C2340)/D2340)</f>
        <v>0.00046917605430568047</v>
      </c>
      <c r="G2340" s="21">
        <f>C2340-D2340</f>
        <v>0.018579371750504947</v>
      </c>
      <c r="H2340" s="16">
        <v>780</v>
      </c>
      <c r="I2340" s="16">
        <v>253</v>
      </c>
    </row>
    <row r="2341" spans="2:9" ht="12.75">
      <c r="B2341" s="20" t="s">
        <v>283</v>
      </c>
      <c r="C2341" s="21">
        <f>(4/3)^1.57*E2341</f>
        <v>61.59573739755501</v>
      </c>
      <c r="D2341" s="16">
        <v>62.17</v>
      </c>
      <c r="E2341" s="16">
        <v>39.21</v>
      </c>
      <c r="F2341" s="22">
        <f>-((D2341-C2341)/D2341)</f>
        <v>-0.00923697285579844</v>
      </c>
      <c r="G2341" s="21">
        <f>C2341-D2341</f>
        <v>-0.5742626024449891</v>
      </c>
      <c r="H2341" s="16">
        <v>780</v>
      </c>
      <c r="I2341" s="16">
        <v>253</v>
      </c>
    </row>
    <row r="2342" spans="2:9" ht="12.75">
      <c r="B2342" s="20" t="s">
        <v>288</v>
      </c>
      <c r="C2342" s="21">
        <f>(4/3)^1.57*E2342</f>
        <v>46.97048069846709</v>
      </c>
      <c r="D2342" s="16">
        <v>49.32</v>
      </c>
      <c r="E2342" s="16">
        <v>29.9</v>
      </c>
      <c r="F2342" s="22">
        <f>-((D2342-C2342)/D2342)</f>
        <v>-0.04763826645443852</v>
      </c>
      <c r="G2342" s="21">
        <f>C2342-D2342</f>
        <v>-2.349519301532908</v>
      </c>
      <c r="H2342" s="16">
        <v>780</v>
      </c>
      <c r="I2342" s="16">
        <v>253</v>
      </c>
    </row>
    <row r="2343" spans="2:9" ht="12.75">
      <c r="B2343" s="20" t="s">
        <v>319</v>
      </c>
      <c r="C2343" s="21">
        <f>(4/3)^1.57*E2343</f>
        <v>62.12984988710279</v>
      </c>
      <c r="D2343" s="16">
        <v>61.67</v>
      </c>
      <c r="E2343" s="16">
        <v>39.55</v>
      </c>
      <c r="F2343" s="22">
        <f>-((D2343-C2343)/D2343)</f>
        <v>0.007456622135605503</v>
      </c>
      <c r="G2343" s="21">
        <f>C2343-D2343</f>
        <v>0.4598498871027914</v>
      </c>
      <c r="H2343" s="16">
        <v>780</v>
      </c>
      <c r="I2343" s="16">
        <v>253</v>
      </c>
    </row>
    <row r="2344" spans="2:9" ht="12.75">
      <c r="B2344" s="20" t="s">
        <v>320</v>
      </c>
      <c r="C2344" s="21">
        <f>(4/3)^1.57*E2344</f>
        <v>62.27123260492427</v>
      </c>
      <c r="D2344" s="16">
        <v>61.64</v>
      </c>
      <c r="E2344" s="16">
        <v>39.64</v>
      </c>
      <c r="F2344" s="22">
        <f>-((D2344-C2344)/D2344)</f>
        <v>0.010240632785922637</v>
      </c>
      <c r="G2344" s="21">
        <f>C2344-D2344</f>
        <v>0.6312326049242714</v>
      </c>
      <c r="H2344" s="16">
        <v>780</v>
      </c>
      <c r="I2344" s="16">
        <v>253</v>
      </c>
    </row>
    <row r="2345" spans="2:9" ht="12.75">
      <c r="B2345" s="20" t="s">
        <v>284</v>
      </c>
      <c r="C2345" s="21">
        <f>(4/3)^1.57*E2345</f>
        <v>58.422480842006394</v>
      </c>
      <c r="D2345" s="16">
        <v>59.67</v>
      </c>
      <c r="E2345" s="16">
        <v>37.19</v>
      </c>
      <c r="F2345" s="22">
        <f>-((D2345-C2345)/D2345)</f>
        <v>-0.020906974325349555</v>
      </c>
      <c r="G2345" s="21">
        <f>C2345-D2345</f>
        <v>-1.247519157993608</v>
      </c>
      <c r="H2345" s="16">
        <v>780</v>
      </c>
      <c r="I2345" s="16">
        <v>253</v>
      </c>
    </row>
    <row r="2346" spans="2:9" ht="12.75">
      <c r="B2346" s="20" t="s">
        <v>285</v>
      </c>
      <c r="C2346" s="21">
        <f>(4/3)^1.57*E2346</f>
        <v>67.87941374517602</v>
      </c>
      <c r="D2346" s="16">
        <v>67.5</v>
      </c>
      <c r="E2346" s="16">
        <v>43.21</v>
      </c>
      <c r="F2346" s="22">
        <f>-((D2346-C2346)/D2346)</f>
        <v>0.005620944372978127</v>
      </c>
      <c r="G2346" s="21">
        <f>C2346-D2346</f>
        <v>0.37941374517602355</v>
      </c>
      <c r="H2346" s="16">
        <v>780</v>
      </c>
      <c r="I2346" s="16">
        <v>253</v>
      </c>
    </row>
    <row r="2347" spans="2:9" ht="12.75">
      <c r="B2347" s="20" t="s">
        <v>286</v>
      </c>
      <c r="C2347" s="21">
        <f>(4/3)^1.57*E2347</f>
        <v>51.887457440480546</v>
      </c>
      <c r="D2347" s="16">
        <v>53.27</v>
      </c>
      <c r="E2347" s="16">
        <v>33.03</v>
      </c>
      <c r="F2347" s="22">
        <f>-((D2347-C2347)/D2347)</f>
        <v>-0.025953492763646654</v>
      </c>
      <c r="G2347" s="21">
        <f>C2347-D2347</f>
        <v>-1.3825425595194574</v>
      </c>
      <c r="H2347" s="16">
        <v>780</v>
      </c>
      <c r="I2347" s="16">
        <v>253</v>
      </c>
    </row>
    <row r="2348" spans="2:9" ht="12.75">
      <c r="B2348" s="20" t="s">
        <v>289</v>
      </c>
      <c r="C2348" s="21">
        <f>(4/3)^1.57*E2348</f>
        <v>48.070124059300774</v>
      </c>
      <c r="D2348" s="16">
        <v>48.99</v>
      </c>
      <c r="E2348" s="16">
        <v>30.6</v>
      </c>
      <c r="F2348" s="22">
        <f>-((D2348-C2348)/D2348)</f>
        <v>-0.018776810383736027</v>
      </c>
      <c r="G2348" s="21">
        <f>C2348-D2348</f>
        <v>-0.9198759406992281</v>
      </c>
      <c r="H2348" s="16">
        <v>780</v>
      </c>
      <c r="I2348" s="16">
        <v>253</v>
      </c>
    </row>
    <row r="2349" spans="2:9" ht="12.75">
      <c r="B2349" s="20" t="s">
        <v>308</v>
      </c>
      <c r="C2349" s="21">
        <f>(4/3)^1.57*E2349</f>
        <v>60.27616536455459</v>
      </c>
      <c r="D2349" s="16">
        <v>57.5</v>
      </c>
      <c r="E2349" s="16">
        <v>38.37</v>
      </c>
      <c r="F2349" s="22">
        <f>-((D2349-C2349)/D2349)</f>
        <v>0.048281136774862496</v>
      </c>
      <c r="G2349" s="21">
        <f>C2349-D2349</f>
        <v>2.7761653645545934</v>
      </c>
      <c r="H2349" s="16">
        <v>780</v>
      </c>
      <c r="I2349" s="16">
        <v>253</v>
      </c>
    </row>
    <row r="2350" spans="2:9" ht="12.75">
      <c r="B2350" s="20" t="s">
        <v>287</v>
      </c>
      <c r="C2350" s="21">
        <f>(4/3)^1.57*E2350</f>
        <v>51.463309287016116</v>
      </c>
      <c r="D2350" s="16">
        <v>53.4</v>
      </c>
      <c r="E2350" s="16">
        <v>32.76</v>
      </c>
      <c r="F2350" s="22">
        <f>-((D2350-C2350)/D2350)</f>
        <v>-0.036267616348012774</v>
      </c>
      <c r="G2350" s="21">
        <f>C2350-D2350</f>
        <v>-1.9366907129838822</v>
      </c>
      <c r="H2350" s="16">
        <v>780</v>
      </c>
      <c r="I2350" s="16">
        <v>253</v>
      </c>
    </row>
    <row r="2351" spans="2:9" ht="12.75">
      <c r="B2351" s="20"/>
      <c r="C2351" s="21"/>
      <c r="D2351" s="16"/>
      <c r="E2351" s="16" t="s">
        <v>14</v>
      </c>
      <c r="F2351" s="22">
        <f>AVERAGE(F2337:F2350)</f>
        <v>0.0012208347501700616</v>
      </c>
      <c r="G2351" s="21">
        <f>AVERAGE(G2337:G2350)</f>
        <v>0.1573397263808418</v>
      </c>
      <c r="H2351" s="16"/>
      <c r="I2351" s="16"/>
    </row>
    <row r="2352" spans="2:9" ht="12.75">
      <c r="B2352" s="20"/>
      <c r="C2352" s="21"/>
      <c r="D2352" s="16"/>
      <c r="E2352" s="16"/>
      <c r="F2352" s="22"/>
      <c r="G2352" s="21"/>
      <c r="H2352" s="16"/>
      <c r="I2352" s="16"/>
    </row>
    <row r="2353" spans="1:9" ht="12.75">
      <c r="A2353" s="23" t="s">
        <v>0</v>
      </c>
      <c r="B2353" s="23" t="s">
        <v>1</v>
      </c>
      <c r="C2353" s="18" t="s">
        <v>74</v>
      </c>
      <c r="D2353" s="18" t="s">
        <v>73</v>
      </c>
      <c r="E2353" s="18" t="s">
        <v>3</v>
      </c>
      <c r="F2353" s="18" t="s">
        <v>5</v>
      </c>
      <c r="G2353" s="18" t="s">
        <v>6</v>
      </c>
      <c r="H2353" s="18" t="s">
        <v>7</v>
      </c>
      <c r="I2353" s="18" t="s">
        <v>8</v>
      </c>
    </row>
    <row r="2354" spans="1:9" ht="12.75">
      <c r="A2354" s="23" t="s">
        <v>326</v>
      </c>
      <c r="B2354" s="23" t="s">
        <v>316</v>
      </c>
      <c r="C2354" s="24">
        <f>(4/3)^2*E2354</f>
        <v>78.11555555555555</v>
      </c>
      <c r="D2354" s="18">
        <v>65.48</v>
      </c>
      <c r="E2354" s="18">
        <v>43.94</v>
      </c>
      <c r="F2354" s="25">
        <f>-((D2354-C2354)/D2354)</f>
        <v>0.19296816670060385</v>
      </c>
      <c r="G2354" s="24">
        <f>C2354-D2354</f>
        <v>12.635555555555541</v>
      </c>
      <c r="H2354" s="18">
        <v>780</v>
      </c>
      <c r="I2354" s="18">
        <v>253</v>
      </c>
    </row>
    <row r="2355" spans="1:9" ht="12.75">
      <c r="A2355" s="5"/>
      <c r="B2355" s="23" t="s">
        <v>312</v>
      </c>
      <c r="C2355" s="24">
        <f>(4/3)^2*E2355</f>
        <v>67.71555555555555</v>
      </c>
      <c r="D2355" s="18">
        <v>57.77</v>
      </c>
      <c r="E2355" s="18">
        <v>38.09</v>
      </c>
      <c r="F2355" s="25">
        <f>-((D2355-C2355)/D2355)</f>
        <v>0.1721577904717942</v>
      </c>
      <c r="G2355" s="24">
        <f>C2355-D2355</f>
        <v>9.94555555555555</v>
      </c>
      <c r="H2355" s="18">
        <v>780</v>
      </c>
      <c r="I2355" s="18">
        <v>253</v>
      </c>
    </row>
    <row r="2356" spans="1:9" ht="12.75">
      <c r="A2356" s="5"/>
      <c r="B2356" s="23" t="s">
        <v>300</v>
      </c>
      <c r="C2356" s="24">
        <f>(4/3)^2*E2356</f>
        <v>60.800000000000004</v>
      </c>
      <c r="D2356" s="18">
        <v>52.99</v>
      </c>
      <c r="E2356" s="18">
        <v>34.2</v>
      </c>
      <c r="F2356" s="25">
        <f>-((D2356-C2356)/D2356)</f>
        <v>0.1473862993017551</v>
      </c>
      <c r="G2356" s="24">
        <f>C2356-D2356</f>
        <v>7.810000000000002</v>
      </c>
      <c r="H2356" s="18">
        <v>780</v>
      </c>
      <c r="I2356" s="18">
        <v>253</v>
      </c>
    </row>
    <row r="2357" spans="1:9" ht="12.75">
      <c r="A2357" s="5"/>
      <c r="B2357" s="23" t="s">
        <v>299</v>
      </c>
      <c r="C2357" s="24">
        <f>(4/3)^2*E2357</f>
        <v>44.83555555555555</v>
      </c>
      <c r="D2357" s="18">
        <v>39.6</v>
      </c>
      <c r="E2357" s="18">
        <v>25.22</v>
      </c>
      <c r="F2357" s="25">
        <f>-((D2357-C2357)/D2357)</f>
        <v>0.13221099887766538</v>
      </c>
      <c r="G2357" s="24">
        <f>C2357-D2357</f>
        <v>5.23555555555555</v>
      </c>
      <c r="H2357" s="18">
        <v>780</v>
      </c>
      <c r="I2357" s="18">
        <v>253</v>
      </c>
    </row>
    <row r="2358" spans="1:9" ht="12.75">
      <c r="A2358" s="5"/>
      <c r="B2358" s="23" t="s">
        <v>283</v>
      </c>
      <c r="C2358" s="24">
        <f>(4/3)^2*E2358</f>
        <v>69.70666666666666</v>
      </c>
      <c r="D2358" s="18">
        <v>62.17</v>
      </c>
      <c r="E2358" s="18">
        <v>39.21</v>
      </c>
      <c r="F2358" s="25">
        <f>-((D2358-C2358)/D2358)</f>
        <v>0.12122674387432301</v>
      </c>
      <c r="G2358" s="24">
        <f>C2358-D2358</f>
        <v>7.536666666666662</v>
      </c>
      <c r="H2358" s="18">
        <v>780</v>
      </c>
      <c r="I2358" s="18">
        <v>253</v>
      </c>
    </row>
    <row r="2359" spans="1:9" ht="12.75">
      <c r="A2359" s="5"/>
      <c r="B2359" s="23" t="s">
        <v>288</v>
      </c>
      <c r="C2359" s="24">
        <f>(4/3)^2*E2359</f>
        <v>53.15555555555555</v>
      </c>
      <c r="D2359" s="18">
        <v>49.32</v>
      </c>
      <c r="E2359" s="18">
        <v>29.9</v>
      </c>
      <c r="F2359" s="25">
        <f>-((D2359-C2359)/D2359)</f>
        <v>0.07776876633324313</v>
      </c>
      <c r="G2359" s="24">
        <f>C2359-D2359</f>
        <v>3.835555555555551</v>
      </c>
      <c r="H2359" s="18">
        <v>780</v>
      </c>
      <c r="I2359" s="18">
        <v>253</v>
      </c>
    </row>
    <row r="2360" spans="1:9" ht="12.75">
      <c r="A2360" s="5"/>
      <c r="B2360" s="23" t="s">
        <v>319</v>
      </c>
      <c r="C2360" s="24">
        <f>(4/3)^2*E2360</f>
        <v>70.3111111111111</v>
      </c>
      <c r="D2360" s="18">
        <v>61.67</v>
      </c>
      <c r="E2360" s="18">
        <v>39.55</v>
      </c>
      <c r="F2360" s="25">
        <f>-((D2360-C2360)/D2360)</f>
        <v>0.14011855215033406</v>
      </c>
      <c r="G2360" s="24">
        <f>C2360-D2360</f>
        <v>8.641111111111101</v>
      </c>
      <c r="H2360" s="18">
        <v>780</v>
      </c>
      <c r="I2360" s="18">
        <v>253</v>
      </c>
    </row>
    <row r="2361" spans="1:9" ht="12.75">
      <c r="A2361" s="5"/>
      <c r="B2361" s="23" t="s">
        <v>320</v>
      </c>
      <c r="C2361" s="24">
        <f>(4/3)^2*E2361</f>
        <v>70.47111111111111</v>
      </c>
      <c r="D2361" s="18">
        <v>61.64</v>
      </c>
      <c r="E2361" s="18">
        <v>39.64</v>
      </c>
      <c r="F2361" s="25">
        <f>-((D2361-C2361)/D2361)</f>
        <v>0.14326916143918095</v>
      </c>
      <c r="G2361" s="24">
        <f>C2361-D2361</f>
        <v>8.831111111111113</v>
      </c>
      <c r="H2361" s="18">
        <v>780</v>
      </c>
      <c r="I2361" s="18">
        <v>253</v>
      </c>
    </row>
    <row r="2362" spans="1:9" ht="12.75">
      <c r="A2362" s="5"/>
      <c r="B2362" s="23" t="s">
        <v>284</v>
      </c>
      <c r="C2362" s="24">
        <f>(4/3)^2*E2362</f>
        <v>66.11555555555555</v>
      </c>
      <c r="D2362" s="18">
        <v>59.67</v>
      </c>
      <c r="E2362" s="18">
        <v>37.19</v>
      </c>
      <c r="F2362" s="25">
        <f>-((D2362-C2362)/D2362)</f>
        <v>0.10802003612461109</v>
      </c>
      <c r="G2362" s="24">
        <f>C2362-D2362</f>
        <v>6.4455555555555435</v>
      </c>
      <c r="H2362" s="18">
        <v>780</v>
      </c>
      <c r="I2362" s="18">
        <v>253</v>
      </c>
    </row>
    <row r="2363" spans="1:9" ht="12.75">
      <c r="A2363" s="5"/>
      <c r="B2363" s="23" t="s">
        <v>285</v>
      </c>
      <c r="C2363" s="24">
        <f>(4/3)^2*E2363</f>
        <v>76.81777777777778</v>
      </c>
      <c r="D2363" s="18">
        <v>67.5</v>
      </c>
      <c r="E2363" s="18">
        <v>43.21</v>
      </c>
      <c r="F2363" s="25">
        <f>-((D2363-C2363)/D2363)</f>
        <v>0.1380411522633745</v>
      </c>
      <c r="G2363" s="24">
        <f>C2363-D2363</f>
        <v>9.317777777777778</v>
      </c>
      <c r="H2363" s="18">
        <v>780</v>
      </c>
      <c r="I2363" s="18">
        <v>253</v>
      </c>
    </row>
    <row r="2364" spans="1:9" ht="12.75">
      <c r="A2364" s="5"/>
      <c r="B2364" s="23" t="s">
        <v>286</v>
      </c>
      <c r="C2364" s="24">
        <f>(4/3)^2*E2364</f>
        <v>58.72</v>
      </c>
      <c r="D2364" s="18">
        <v>53.27</v>
      </c>
      <c r="E2364" s="18">
        <v>33.03</v>
      </c>
      <c r="F2364" s="25">
        <f>-((D2364-C2364)/D2364)</f>
        <v>0.10230899192791432</v>
      </c>
      <c r="G2364" s="24">
        <f>C2364-D2364</f>
        <v>5.449999999999996</v>
      </c>
      <c r="H2364" s="18">
        <v>780</v>
      </c>
      <c r="I2364" s="18">
        <v>253</v>
      </c>
    </row>
    <row r="2365" spans="1:9" ht="12.75">
      <c r="A2365" s="5"/>
      <c r="B2365" s="23" t="s">
        <v>289</v>
      </c>
      <c r="C2365" s="24">
        <f>(4/3)^2*E2365</f>
        <v>54.4</v>
      </c>
      <c r="D2365" s="18">
        <v>48.99</v>
      </c>
      <c r="E2365" s="18">
        <v>30.6</v>
      </c>
      <c r="F2365" s="25">
        <f>-((D2365-C2365)/D2365)</f>
        <v>0.11043070014288622</v>
      </c>
      <c r="G2365" s="24">
        <f>C2365-D2365</f>
        <v>5.409999999999997</v>
      </c>
      <c r="H2365" s="18">
        <v>780</v>
      </c>
      <c r="I2365" s="18">
        <v>253</v>
      </c>
    </row>
    <row r="2366" spans="1:9" ht="12.75">
      <c r="A2366" s="5"/>
      <c r="B2366" s="23" t="s">
        <v>308</v>
      </c>
      <c r="C2366" s="24">
        <f>(4/3)^2*E2366</f>
        <v>68.21333333333332</v>
      </c>
      <c r="D2366" s="18">
        <v>57.5</v>
      </c>
      <c r="E2366" s="18">
        <v>38.37</v>
      </c>
      <c r="F2366" s="25">
        <f>-((D2366-C2366)/D2366)</f>
        <v>0.18631884057971</v>
      </c>
      <c r="G2366" s="24">
        <f>C2366-D2366</f>
        <v>10.713333333333324</v>
      </c>
      <c r="H2366" s="18">
        <v>780</v>
      </c>
      <c r="I2366" s="18">
        <v>253</v>
      </c>
    </row>
    <row r="2367" spans="1:9" ht="12.75">
      <c r="A2367" s="5"/>
      <c r="B2367" s="23" t="s">
        <v>287</v>
      </c>
      <c r="C2367" s="24">
        <f>(4/3)^2*E2367</f>
        <v>58.239999999999995</v>
      </c>
      <c r="D2367" s="18">
        <v>53.4</v>
      </c>
      <c r="E2367" s="18">
        <v>32.76</v>
      </c>
      <c r="F2367" s="25">
        <f>-((D2367-C2367)/D2367)</f>
        <v>0.09063670411985011</v>
      </c>
      <c r="G2367" s="24">
        <f>C2367-D2367</f>
        <v>4.839999999999996</v>
      </c>
      <c r="H2367" s="18">
        <v>780</v>
      </c>
      <c r="I2367" s="18">
        <v>253</v>
      </c>
    </row>
    <row r="2368" spans="1:9" ht="12.75">
      <c r="A2368" s="5"/>
      <c r="B2368" s="23"/>
      <c r="C2368" s="24"/>
      <c r="D2368" s="18"/>
      <c r="E2368" s="18" t="s">
        <v>14</v>
      </c>
      <c r="F2368" s="25">
        <f>AVERAGE(F2354:F2367)</f>
        <v>0.13306163602194612</v>
      </c>
      <c r="G2368" s="24">
        <f>AVERAGE(G2354:G2367)</f>
        <v>7.617698412698408</v>
      </c>
      <c r="H2368" s="18"/>
      <c r="I2368" s="18"/>
    </row>
    <row r="2369" spans="1:9" ht="12.75">
      <c r="A2369" s="5"/>
      <c r="B2369" s="23"/>
      <c r="C2369" s="24"/>
      <c r="D2369" s="18"/>
      <c r="E2369" s="18"/>
      <c r="F2369" s="25"/>
      <c r="G2369" s="24"/>
      <c r="H2369" s="18"/>
      <c r="I2369" s="18"/>
    </row>
    <row r="2370" spans="1:9" ht="12.75">
      <c r="A2370" s="69" t="s">
        <v>0</v>
      </c>
      <c r="B2370" s="69" t="s">
        <v>1</v>
      </c>
      <c r="C2370" s="70" t="s">
        <v>253</v>
      </c>
      <c r="D2370" s="70" t="s">
        <v>73</v>
      </c>
      <c r="E2370" s="70" t="s">
        <v>3</v>
      </c>
      <c r="F2370" s="70" t="s">
        <v>5</v>
      </c>
      <c r="G2370" s="70" t="s">
        <v>6</v>
      </c>
      <c r="H2370" s="70" t="s">
        <v>7</v>
      </c>
      <c r="I2370" s="70" t="s">
        <v>8</v>
      </c>
    </row>
    <row r="2371" spans="1:9" ht="12.75">
      <c r="A2371" s="69" t="s">
        <v>326</v>
      </c>
      <c r="B2371" s="69" t="s">
        <v>300</v>
      </c>
      <c r="C2371" s="71">
        <f>(5/4)^1.63*E2371</f>
        <v>76.23549784079655</v>
      </c>
      <c r="D2371" s="70">
        <v>74.82</v>
      </c>
      <c r="E2371" s="70">
        <v>52.99</v>
      </c>
      <c r="F2371" s="72">
        <f>-((D2371-C2371)/D2371)</f>
        <v>0.018918709446626058</v>
      </c>
      <c r="G2371" s="71">
        <f>C2371-D2371</f>
        <v>1.4154978407965615</v>
      </c>
      <c r="H2371" s="70">
        <v>780</v>
      </c>
      <c r="I2371" s="70">
        <v>253</v>
      </c>
    </row>
    <row r="2372" spans="2:9" ht="12.75">
      <c r="B2372" s="69" t="s">
        <v>299</v>
      </c>
      <c r="C2372" s="71">
        <f>(5/4)^1.63*E2372</f>
        <v>56.97161189838731</v>
      </c>
      <c r="D2372" s="70">
        <v>54.61</v>
      </c>
      <c r="E2372" s="70">
        <v>39.6</v>
      </c>
      <c r="F2372" s="72">
        <f>-((D2372-C2372)/D2372)</f>
        <v>0.04324504483404705</v>
      </c>
      <c r="G2372" s="71">
        <f>C2372-D2372</f>
        <v>2.3616118983873093</v>
      </c>
      <c r="H2372" s="70">
        <v>780</v>
      </c>
      <c r="I2372" s="70">
        <v>253</v>
      </c>
    </row>
    <row r="2373" spans="2:9" ht="12.75">
      <c r="B2373" s="69" t="s">
        <v>301</v>
      </c>
      <c r="C2373" s="71">
        <f>(5/4)^1.63*E2373</f>
        <v>54.899916920264126</v>
      </c>
      <c r="D2373" s="70">
        <v>52.82</v>
      </c>
      <c r="E2373" s="70">
        <v>38.16</v>
      </c>
      <c r="F2373" s="72">
        <f>-((D2373-C2373)/D2373)</f>
        <v>0.03937745021325493</v>
      </c>
      <c r="G2373" s="71">
        <f>C2373-D2373</f>
        <v>2.0799169202641252</v>
      </c>
      <c r="H2373" s="70">
        <v>780</v>
      </c>
      <c r="I2373" s="70">
        <v>253</v>
      </c>
    </row>
    <row r="2374" spans="2:9" ht="12.75">
      <c r="B2374" s="69" t="s">
        <v>91</v>
      </c>
      <c r="C2374" s="71">
        <f>(5/4)^1.63*E2374</f>
        <v>50.68459311061073</v>
      </c>
      <c r="D2374" s="70">
        <v>48.72</v>
      </c>
      <c r="E2374" s="70">
        <v>35.23</v>
      </c>
      <c r="F2374" s="72">
        <f>-((D2374-C2374)/D2374)</f>
        <v>0.04032416072682119</v>
      </c>
      <c r="G2374" s="71">
        <f>C2374-D2374</f>
        <v>1.9645931106107284</v>
      </c>
      <c r="H2374" s="70">
        <v>780</v>
      </c>
      <c r="I2374" s="70">
        <v>253</v>
      </c>
    </row>
    <row r="2375" spans="2:9" ht="12.75">
      <c r="B2375" s="69" t="s">
        <v>92</v>
      </c>
      <c r="C2375" s="71">
        <f>(5/4)^1.63*E2375</f>
        <v>41.63531435200325</v>
      </c>
      <c r="D2375" s="70">
        <v>40.43</v>
      </c>
      <c r="E2375" s="70">
        <v>28.94</v>
      </c>
      <c r="F2375" s="72">
        <f>-((D2375-C2375)/D2375)</f>
        <v>0.029812375760654198</v>
      </c>
      <c r="G2375" s="71">
        <f>C2375-D2375</f>
        <v>1.2053143520032492</v>
      </c>
      <c r="H2375" s="70">
        <v>780</v>
      </c>
      <c r="I2375" s="70">
        <v>253</v>
      </c>
    </row>
    <row r="2376" spans="2:9" ht="12.75">
      <c r="B2376" s="69" t="s">
        <v>289</v>
      </c>
      <c r="C2376" s="71">
        <f>(5/4)^1.63*E2376</f>
        <v>70.48078956823218</v>
      </c>
      <c r="D2376" s="70">
        <v>72.85</v>
      </c>
      <c r="E2376" s="70">
        <v>48.99</v>
      </c>
      <c r="F2376" s="72">
        <f>-((D2376-C2376)/D2376)</f>
        <v>-0.03252176296180936</v>
      </c>
      <c r="G2376" s="71">
        <f>C2376-D2376</f>
        <v>-2.3692104317678115</v>
      </c>
      <c r="H2376" s="70">
        <v>780</v>
      </c>
      <c r="I2376" s="70">
        <v>253</v>
      </c>
    </row>
    <row r="2377" spans="2:9" ht="12.75">
      <c r="B2377" s="69" t="s">
        <v>96</v>
      </c>
      <c r="C2377" s="71">
        <f>(5/4)^1.63*E2377</f>
        <v>45.735543996205365</v>
      </c>
      <c r="D2377" s="70">
        <v>46.39</v>
      </c>
      <c r="E2377" s="70">
        <v>31.79</v>
      </c>
      <c r="F2377" s="72">
        <f>-((D2377-C2377)/D2377)</f>
        <v>-0.014107695705855473</v>
      </c>
      <c r="G2377" s="71">
        <f>C2377-D2377</f>
        <v>-0.6544560037946354</v>
      </c>
      <c r="H2377" s="70">
        <v>780</v>
      </c>
      <c r="I2377" s="70">
        <v>253</v>
      </c>
    </row>
    <row r="2378" spans="2:9" ht="12.75">
      <c r="B2378" s="69" t="s">
        <v>242</v>
      </c>
      <c r="C2378" s="71">
        <f>(5/4)^1.63*E2378</f>
        <v>64.63976067157934</v>
      </c>
      <c r="D2378" s="70">
        <v>65.01</v>
      </c>
      <c r="E2378" s="70">
        <v>44.93</v>
      </c>
      <c r="F2378" s="72">
        <f>-((D2378-C2378)/D2378)</f>
        <v>-0.0056951134967030675</v>
      </c>
      <c r="G2378" s="71">
        <f>C2378-D2378</f>
        <v>-0.3702393284206664</v>
      </c>
      <c r="H2378" s="70">
        <v>780</v>
      </c>
      <c r="I2378" s="70">
        <v>253</v>
      </c>
    </row>
    <row r="2379" spans="2:9" ht="12.75">
      <c r="B2379" s="69" t="s">
        <v>148</v>
      </c>
      <c r="C2379" s="71">
        <f>(5/4)^1.63*E2379</f>
        <v>53.231051521220465</v>
      </c>
      <c r="D2379" s="70">
        <v>54.61</v>
      </c>
      <c r="E2379" s="70">
        <v>37</v>
      </c>
      <c r="F2379" s="72">
        <f>-((D2379-C2379)/D2379)</f>
        <v>-0.02525084194798635</v>
      </c>
      <c r="G2379" s="71">
        <f>C2379-D2379</f>
        <v>-1.3789484787795345</v>
      </c>
      <c r="H2379" s="70">
        <v>780</v>
      </c>
      <c r="I2379" s="70">
        <v>253</v>
      </c>
    </row>
    <row r="2380" spans="2:9" ht="12.75">
      <c r="B2380" s="69" t="s">
        <v>243</v>
      </c>
      <c r="C2380" s="71">
        <f>(5/4)^1.63*E2380</f>
        <v>64.28009140454407</v>
      </c>
      <c r="D2380" s="70">
        <v>63.71</v>
      </c>
      <c r="E2380" s="70">
        <v>44.68</v>
      </c>
      <c r="F2380" s="72">
        <f>-((D2380-C2380)/D2380)</f>
        <v>0.008948224839806396</v>
      </c>
      <c r="G2380" s="71">
        <f>C2380-D2380</f>
        <v>0.5700914045440655</v>
      </c>
      <c r="H2380" s="70">
        <v>780</v>
      </c>
      <c r="I2380" s="70">
        <v>253</v>
      </c>
    </row>
    <row r="2381" spans="2:9" ht="12.75">
      <c r="B2381" s="69" t="s">
        <v>244</v>
      </c>
      <c r="C2381" s="71">
        <f>(5/4)^1.63*E2381</f>
        <v>55.86383055591866</v>
      </c>
      <c r="D2381" s="70">
        <v>56.95</v>
      </c>
      <c r="E2381" s="70">
        <v>38.83</v>
      </c>
      <c r="F2381" s="72">
        <f>-((D2381-C2381)/D2381)</f>
        <v>-0.01907233440002357</v>
      </c>
      <c r="G2381" s="71">
        <f>C2381-D2381</f>
        <v>-1.0861694440813423</v>
      </c>
      <c r="H2381" s="70">
        <v>780</v>
      </c>
      <c r="I2381" s="70">
        <v>253</v>
      </c>
    </row>
    <row r="2382" spans="2:9" ht="12.75">
      <c r="B2382" s="69" t="s">
        <v>122</v>
      </c>
      <c r="C2382" s="71">
        <f>(5/4)^1.63*E2382</f>
        <v>52.05133632534477</v>
      </c>
      <c r="D2382" s="70">
        <v>53.42</v>
      </c>
      <c r="E2382" s="70">
        <v>36.18</v>
      </c>
      <c r="F2382" s="72">
        <f>-((D2382-C2382)/D2382)</f>
        <v>-0.025620810083400055</v>
      </c>
      <c r="G2382" s="71">
        <f>C2382-D2382</f>
        <v>-1.368663674655231</v>
      </c>
      <c r="H2382" s="70">
        <v>780</v>
      </c>
      <c r="I2382" s="70">
        <v>253</v>
      </c>
    </row>
    <row r="2383" spans="2:9" ht="12.75">
      <c r="B2383" s="69" t="s">
        <v>97</v>
      </c>
      <c r="C2383" s="71">
        <f>(5/4)^1.63*E2383</f>
        <v>47.51950356070032</v>
      </c>
      <c r="D2383" s="70">
        <v>48.82</v>
      </c>
      <c r="E2383" s="70">
        <v>33.03</v>
      </c>
      <c r="F2383" s="72">
        <f>-((D2383-C2383)/D2383)</f>
        <v>-0.02663859973985412</v>
      </c>
      <c r="G2383" s="71">
        <f>C2383-D2383</f>
        <v>-1.3004964392996783</v>
      </c>
      <c r="H2383" s="70">
        <v>780</v>
      </c>
      <c r="I2383" s="70">
        <v>253</v>
      </c>
    </row>
    <row r="2384" spans="2:9" ht="12.75">
      <c r="B2384" s="69" t="s">
        <v>98</v>
      </c>
      <c r="C2384" s="71">
        <f>(5/4)^1.63*E2384</f>
        <v>40.41243884408332</v>
      </c>
      <c r="D2384" s="70">
        <v>41.47</v>
      </c>
      <c r="E2384" s="70">
        <v>28.09</v>
      </c>
      <c r="F2384" s="72">
        <f>-((D2384-C2384)/D2384)</f>
        <v>-0.02550183640985484</v>
      </c>
      <c r="G2384" s="71">
        <f>C2384-D2384</f>
        <v>-1.0575611559166802</v>
      </c>
      <c r="H2384" s="70">
        <v>780</v>
      </c>
      <c r="I2384" s="70">
        <v>253</v>
      </c>
    </row>
    <row r="2385" spans="2:9" ht="12.75">
      <c r="B2385" s="69" t="s">
        <v>101</v>
      </c>
      <c r="C2385" s="71">
        <f>(5/4)^1.63*E2385</f>
        <v>54.22373869823782</v>
      </c>
      <c r="D2385" s="70">
        <v>53.59</v>
      </c>
      <c r="E2385" s="70">
        <v>37.69</v>
      </c>
      <c r="F2385" s="72">
        <f>-((D2385-C2385)/D2385)</f>
        <v>0.01182568946142589</v>
      </c>
      <c r="G2385" s="71">
        <f>C2385-D2385</f>
        <v>0.6337386982378135</v>
      </c>
      <c r="H2385" s="70">
        <v>780</v>
      </c>
      <c r="I2385" s="70">
        <v>253</v>
      </c>
    </row>
    <row r="2386" spans="2:9" ht="12.75">
      <c r="B2386" s="69"/>
      <c r="C2386" s="71"/>
      <c r="D2386" s="70"/>
      <c r="E2386" s="70" t="s">
        <v>14</v>
      </c>
      <c r="F2386" s="72">
        <f>AVERAGE(F2371:F2385)</f>
        <v>0.0012028440358099251</v>
      </c>
      <c r="G2386" s="71">
        <f>AVERAGE(G2371:G2385)</f>
        <v>0.043001284541884864</v>
      </c>
      <c r="H2386" s="70"/>
      <c r="I2386" s="70"/>
    </row>
    <row r="2387" spans="2:9" ht="12.75">
      <c r="B2387" s="69"/>
      <c r="C2387" s="71"/>
      <c r="D2387" s="70"/>
      <c r="E2387" s="70"/>
      <c r="F2387" s="72"/>
      <c r="G2387" s="71"/>
      <c r="H2387" s="70"/>
      <c r="I2387" s="70"/>
    </row>
    <row r="2388" spans="1:9" ht="12.75">
      <c r="A2388" s="73" t="s">
        <v>0</v>
      </c>
      <c r="B2388" s="73" t="s">
        <v>1</v>
      </c>
      <c r="C2388" s="74" t="s">
        <v>219</v>
      </c>
      <c r="D2388" s="74" t="s">
        <v>73</v>
      </c>
      <c r="E2388" s="74" t="s">
        <v>3</v>
      </c>
      <c r="F2388" s="74" t="s">
        <v>5</v>
      </c>
      <c r="G2388" s="74" t="s">
        <v>6</v>
      </c>
      <c r="H2388" s="74" t="s">
        <v>7</v>
      </c>
      <c r="I2388" s="74" t="s">
        <v>8</v>
      </c>
    </row>
    <row r="2389" spans="1:9" ht="12.75">
      <c r="A2389" s="73" t="s">
        <v>326</v>
      </c>
      <c r="B2389" s="73" t="s">
        <v>300</v>
      </c>
      <c r="C2389" s="75">
        <f>(5/4)^2*E2389</f>
        <v>82.796875</v>
      </c>
      <c r="D2389" s="74">
        <v>74.82</v>
      </c>
      <c r="E2389" s="74">
        <v>52.99</v>
      </c>
      <c r="F2389" s="76">
        <f>-((D2389-C2389)/D2389)</f>
        <v>0.10661420743116824</v>
      </c>
      <c r="G2389" s="75">
        <f>C2389-D2389</f>
        <v>7.976875000000007</v>
      </c>
      <c r="H2389" s="74">
        <v>780</v>
      </c>
      <c r="I2389" s="74">
        <v>253</v>
      </c>
    </row>
    <row r="2390" spans="1:9" ht="12.75">
      <c r="A2390" s="5"/>
      <c r="B2390" s="73" t="s">
        <v>299</v>
      </c>
      <c r="C2390" s="75">
        <f>(5/4)^2*E2390</f>
        <v>61.875</v>
      </c>
      <c r="D2390" s="74">
        <v>54.61</v>
      </c>
      <c r="E2390" s="74">
        <v>39.6</v>
      </c>
      <c r="F2390" s="76">
        <f>-((D2390-C2390)/D2390)</f>
        <v>0.13303424281267168</v>
      </c>
      <c r="G2390" s="75">
        <f>C2390-D2390</f>
        <v>7.265000000000001</v>
      </c>
      <c r="H2390" s="74">
        <v>780</v>
      </c>
      <c r="I2390" s="74">
        <v>253</v>
      </c>
    </row>
    <row r="2391" spans="1:9" ht="12.75">
      <c r="A2391" s="5"/>
      <c r="B2391" s="73" t="s">
        <v>301</v>
      </c>
      <c r="C2391" s="75">
        <f>(5/4)^2*E2391</f>
        <v>59.62499999999999</v>
      </c>
      <c r="D2391" s="74">
        <v>52.82</v>
      </c>
      <c r="E2391" s="74">
        <v>38.16</v>
      </c>
      <c r="F2391" s="76">
        <f>-((D2391-C2391)/D2391)</f>
        <v>0.12883377508519486</v>
      </c>
      <c r="G2391" s="75">
        <f>C2391-D2391</f>
        <v>6.804999999999993</v>
      </c>
      <c r="H2391" s="74">
        <v>780</v>
      </c>
      <c r="I2391" s="74">
        <v>253</v>
      </c>
    </row>
    <row r="2392" spans="1:9" ht="12.75">
      <c r="A2392" s="5"/>
      <c r="B2392" s="73" t="s">
        <v>91</v>
      </c>
      <c r="C2392" s="75">
        <f>(5/4)^2*E2392</f>
        <v>55.04687499999999</v>
      </c>
      <c r="D2392" s="74">
        <v>48.72</v>
      </c>
      <c r="E2392" s="74">
        <v>35.23</v>
      </c>
      <c r="F2392" s="76">
        <f>-((D2392-C2392)/D2392)</f>
        <v>0.12986196633825933</v>
      </c>
      <c r="G2392" s="75">
        <f>C2392-D2392</f>
        <v>6.326874999999994</v>
      </c>
      <c r="H2392" s="74">
        <v>780</v>
      </c>
      <c r="I2392" s="74">
        <v>253</v>
      </c>
    </row>
    <row r="2393" spans="1:9" ht="12.75">
      <c r="A2393" s="5"/>
      <c r="B2393" s="73" t="s">
        <v>92</v>
      </c>
      <c r="C2393" s="75">
        <f>(5/4)^2*E2393</f>
        <v>45.21875</v>
      </c>
      <c r="D2393" s="74">
        <v>40.43</v>
      </c>
      <c r="E2393" s="74">
        <v>28.94</v>
      </c>
      <c r="F2393" s="76">
        <f>-((D2393-C2393)/D2393)</f>
        <v>0.11844546129112046</v>
      </c>
      <c r="G2393" s="75">
        <f>C2393-D2393</f>
        <v>4.78875</v>
      </c>
      <c r="H2393" s="74">
        <v>780</v>
      </c>
      <c r="I2393" s="74">
        <v>253</v>
      </c>
    </row>
    <row r="2394" spans="1:9" ht="12.75">
      <c r="A2394" s="5"/>
      <c r="B2394" s="73" t="s">
        <v>289</v>
      </c>
      <c r="C2394" s="75">
        <f>(5/4)^2*E2394</f>
        <v>76.546875</v>
      </c>
      <c r="D2394" s="74">
        <v>72.85</v>
      </c>
      <c r="E2394" s="74">
        <v>48.99</v>
      </c>
      <c r="F2394" s="76">
        <f>-((D2394-C2394)/D2394)</f>
        <v>0.05074639670555945</v>
      </c>
      <c r="G2394" s="75">
        <f>C2394-D2394</f>
        <v>3.6968750000000057</v>
      </c>
      <c r="H2394" s="74">
        <v>780</v>
      </c>
      <c r="I2394" s="74">
        <v>253</v>
      </c>
    </row>
    <row r="2395" spans="1:9" ht="12.75">
      <c r="A2395" s="5"/>
      <c r="B2395" s="73" t="s">
        <v>96</v>
      </c>
      <c r="C2395" s="75">
        <f>(5/4)^2*E2395</f>
        <v>49.671875</v>
      </c>
      <c r="D2395" s="74">
        <v>46.39</v>
      </c>
      <c r="E2395" s="74">
        <v>31.79</v>
      </c>
      <c r="F2395" s="76">
        <f>-((D2395-C2395)/D2395)</f>
        <v>0.07074531148954515</v>
      </c>
      <c r="G2395" s="75">
        <f>C2395-D2395</f>
        <v>3.2818749999999994</v>
      </c>
      <c r="H2395" s="74">
        <v>780</v>
      </c>
      <c r="I2395" s="74">
        <v>253</v>
      </c>
    </row>
    <row r="2396" spans="1:9" ht="12.75">
      <c r="A2396" s="5"/>
      <c r="B2396" s="73" t="s">
        <v>242</v>
      </c>
      <c r="C2396" s="75">
        <f>(5/4)^2*E2396</f>
        <v>70.203125</v>
      </c>
      <c r="D2396" s="74">
        <v>65.01</v>
      </c>
      <c r="E2396" s="74">
        <v>44.93</v>
      </c>
      <c r="F2396" s="76">
        <f>-((D2396-C2396)/D2396)</f>
        <v>0.07988194123980917</v>
      </c>
      <c r="G2396" s="75">
        <f>C2396-D2396</f>
        <v>5.193124999999995</v>
      </c>
      <c r="H2396" s="74">
        <v>780</v>
      </c>
      <c r="I2396" s="74">
        <v>253</v>
      </c>
    </row>
    <row r="2397" spans="1:9" ht="12.75">
      <c r="A2397" s="5"/>
      <c r="B2397" s="73" t="s">
        <v>148</v>
      </c>
      <c r="C2397" s="75">
        <f>(5/4)^2*E2397</f>
        <v>57.8125</v>
      </c>
      <c r="D2397" s="74">
        <v>54.61</v>
      </c>
      <c r="E2397" s="74">
        <v>37</v>
      </c>
      <c r="F2397" s="76">
        <f>-((D2397-C2397)/D2397)</f>
        <v>0.05864310565830435</v>
      </c>
      <c r="G2397" s="75">
        <f>C2397-D2397</f>
        <v>3.2025000000000006</v>
      </c>
      <c r="H2397" s="74">
        <v>780</v>
      </c>
      <c r="I2397" s="74">
        <v>253</v>
      </c>
    </row>
    <row r="2398" spans="1:9" ht="12.75">
      <c r="A2398" s="5"/>
      <c r="B2398" s="73" t="s">
        <v>243</v>
      </c>
      <c r="C2398" s="75">
        <f>(5/4)^2*E2398</f>
        <v>69.8125</v>
      </c>
      <c r="D2398" s="74">
        <v>63.71</v>
      </c>
      <c r="E2398" s="74">
        <v>44.68</v>
      </c>
      <c r="F2398" s="76">
        <f>-((D2398-C2398)/D2398)</f>
        <v>0.0957855909590331</v>
      </c>
      <c r="G2398" s="75">
        <f>C2398-D2398</f>
        <v>6.102499999999999</v>
      </c>
      <c r="H2398" s="74">
        <v>780</v>
      </c>
      <c r="I2398" s="74">
        <v>253</v>
      </c>
    </row>
    <row r="2399" spans="1:9" ht="12.75">
      <c r="A2399" s="5"/>
      <c r="B2399" s="73" t="s">
        <v>244</v>
      </c>
      <c r="C2399" s="75">
        <f>(5/4)^2*E2399</f>
        <v>60.671875</v>
      </c>
      <c r="D2399" s="74">
        <v>56.95</v>
      </c>
      <c r="E2399" s="74">
        <v>38.83</v>
      </c>
      <c r="F2399" s="76">
        <f>-((D2399-C2399)/D2399)</f>
        <v>0.06535338015803331</v>
      </c>
      <c r="G2399" s="75">
        <f>C2399-D2399</f>
        <v>3.721874999999997</v>
      </c>
      <c r="H2399" s="74">
        <v>780</v>
      </c>
      <c r="I2399" s="74">
        <v>253</v>
      </c>
    </row>
    <row r="2400" spans="1:9" ht="12.75">
      <c r="A2400" s="5"/>
      <c r="B2400" s="73" t="s">
        <v>122</v>
      </c>
      <c r="C2400" s="75">
        <f>(5/4)^2*E2400</f>
        <v>56.53125</v>
      </c>
      <c r="D2400" s="74">
        <v>53.42</v>
      </c>
      <c r="E2400" s="74">
        <v>36.18</v>
      </c>
      <c r="F2400" s="76">
        <f>-((D2400-C2400)/D2400)</f>
        <v>0.05824129539498312</v>
      </c>
      <c r="G2400" s="75">
        <f>C2400-D2400</f>
        <v>3.1112499999999983</v>
      </c>
      <c r="H2400" s="74">
        <v>780</v>
      </c>
      <c r="I2400" s="74">
        <v>253</v>
      </c>
    </row>
    <row r="2401" spans="1:9" ht="12.75">
      <c r="A2401" s="5"/>
      <c r="B2401" s="73" t="s">
        <v>97</v>
      </c>
      <c r="C2401" s="75">
        <f>(5/4)^2*E2401</f>
        <v>51.609375</v>
      </c>
      <c r="D2401" s="74">
        <v>48.82</v>
      </c>
      <c r="E2401" s="74">
        <v>33.03</v>
      </c>
      <c r="F2401" s="76">
        <f>-((D2401-C2401)/D2401)</f>
        <v>0.05713590741499385</v>
      </c>
      <c r="G2401" s="75">
        <f>C2401-D2401</f>
        <v>2.7893749999999997</v>
      </c>
      <c r="H2401" s="74">
        <v>780</v>
      </c>
      <c r="I2401" s="74">
        <v>253</v>
      </c>
    </row>
    <row r="2402" spans="1:9" ht="12.75">
      <c r="A2402" s="5"/>
      <c r="B2402" s="73" t="s">
        <v>98</v>
      </c>
      <c r="C2402" s="75">
        <f>(5/4)^2*E2402</f>
        <v>43.890625</v>
      </c>
      <c r="D2402" s="74">
        <v>41.47</v>
      </c>
      <c r="E2402" s="74">
        <v>28.09</v>
      </c>
      <c r="F2402" s="76">
        <f>-((D2402-C2402)/D2402)</f>
        <v>0.05837050880154331</v>
      </c>
      <c r="G2402" s="75">
        <f>C2402-D2402</f>
        <v>2.420625000000001</v>
      </c>
      <c r="H2402" s="74">
        <v>780</v>
      </c>
      <c r="I2402" s="74">
        <v>253</v>
      </c>
    </row>
    <row r="2403" spans="1:9" ht="12.75">
      <c r="A2403" s="5"/>
      <c r="B2403" s="73" t="s">
        <v>101</v>
      </c>
      <c r="C2403" s="75">
        <f>(5/4)^2*E2403</f>
        <v>58.890625</v>
      </c>
      <c r="D2403" s="74">
        <v>53.59</v>
      </c>
      <c r="E2403" s="74">
        <v>37.69</v>
      </c>
      <c r="F2403" s="76">
        <f>-((D2403-C2403)/D2403)</f>
        <v>0.09891071095353604</v>
      </c>
      <c r="G2403" s="75">
        <f>C2403-D2403</f>
        <v>5.300624999999997</v>
      </c>
      <c r="H2403" s="74">
        <v>780</v>
      </c>
      <c r="I2403" s="74">
        <v>253</v>
      </c>
    </row>
    <row r="2404" spans="1:9" ht="12.75">
      <c r="A2404" s="5"/>
      <c r="B2404" s="73"/>
      <c r="C2404" s="75"/>
      <c r="D2404" s="74"/>
      <c r="E2404" s="74" t="s">
        <v>14</v>
      </c>
      <c r="F2404" s="76">
        <f>AVERAGE(F2389:F2403)</f>
        <v>0.08737358678225035</v>
      </c>
      <c r="G2404" s="75">
        <f>AVERAGE(G2389:G2403)</f>
        <v>4.798874999999999</v>
      </c>
      <c r="H2404" s="74"/>
      <c r="I2404" s="74"/>
    </row>
    <row r="2405" spans="1:9" ht="12.75">
      <c r="A2405" s="5"/>
      <c r="B2405" s="73"/>
      <c r="C2405" s="75"/>
      <c r="D2405" s="74"/>
      <c r="E2405" s="74"/>
      <c r="F2405" s="76"/>
      <c r="G2405" s="75"/>
      <c r="H2405" s="74"/>
      <c r="I2405" s="74"/>
    </row>
    <row r="2406" spans="1:9" ht="12.75">
      <c r="A2406" s="79" t="s">
        <v>0</v>
      </c>
      <c r="B2406" s="79" t="s">
        <v>1</v>
      </c>
      <c r="C2406" s="80" t="s">
        <v>327</v>
      </c>
      <c r="D2406" s="80" t="s">
        <v>218</v>
      </c>
      <c r="E2406" s="80" t="s">
        <v>73</v>
      </c>
      <c r="F2406" s="80" t="s">
        <v>5</v>
      </c>
      <c r="G2406" s="80" t="s">
        <v>6</v>
      </c>
      <c r="H2406" s="80" t="s">
        <v>7</v>
      </c>
      <c r="I2406" s="80" t="s">
        <v>8</v>
      </c>
    </row>
    <row r="2407" spans="1:9" ht="12.75">
      <c r="A2407" s="79" t="s">
        <v>328</v>
      </c>
      <c r="B2407" s="79" t="s">
        <v>91</v>
      </c>
      <c r="C2407" s="81">
        <f>(6/5)^1.68*E2407</f>
        <v>66.18076347819509</v>
      </c>
      <c r="D2407" s="80">
        <v>63.75</v>
      </c>
      <c r="E2407" s="80">
        <v>48.72</v>
      </c>
      <c r="F2407" s="82">
        <f>-((D2407-C2407)/D2407)</f>
        <v>0.03812962318737395</v>
      </c>
      <c r="G2407" s="81">
        <f>C2407-D2407</f>
        <v>2.4307634781950895</v>
      </c>
      <c r="H2407" s="80">
        <v>780</v>
      </c>
      <c r="I2407" s="80">
        <v>253</v>
      </c>
    </row>
    <row r="2408" spans="2:9" ht="12.75">
      <c r="B2408" s="79" t="s">
        <v>92</v>
      </c>
      <c r="C2408" s="81">
        <f>(6/5)^1.68*E2408</f>
        <v>54.919709922484145</v>
      </c>
      <c r="D2408" s="80">
        <v>53.73</v>
      </c>
      <c r="E2408" s="80">
        <v>40.43</v>
      </c>
      <c r="F2408" s="82">
        <f>-((D2408-C2408)/D2408)</f>
        <v>0.02214237711677179</v>
      </c>
      <c r="G2408" s="81">
        <f>C2408-D2408</f>
        <v>1.1897099224841483</v>
      </c>
      <c r="H2408" s="80">
        <v>780</v>
      </c>
      <c r="I2408" s="80">
        <v>253</v>
      </c>
    </row>
    <row r="2409" spans="2:9" ht="12.75">
      <c r="B2409" s="79" t="s">
        <v>93</v>
      </c>
      <c r="C2409" s="81">
        <f>(6/5)^1.68*E2409</f>
        <v>38.19792834578912</v>
      </c>
      <c r="D2409" s="80">
        <v>37.51</v>
      </c>
      <c r="E2409" s="80">
        <v>28.12</v>
      </c>
      <c r="F2409" s="82">
        <f>-((D2409-C2409)/D2409)</f>
        <v>0.018339865256974803</v>
      </c>
      <c r="G2409" s="81">
        <f>C2409-D2409</f>
        <v>0.6879283457891248</v>
      </c>
      <c r="H2409" s="80">
        <v>780</v>
      </c>
      <c r="I2409" s="80">
        <v>253</v>
      </c>
    </row>
    <row r="2410" spans="2:9" ht="12.75">
      <c r="B2410" s="79" t="s">
        <v>44</v>
      </c>
      <c r="C2410" s="81">
        <f>(6/5)^1.68*E2410</f>
        <v>42.83003843324079</v>
      </c>
      <c r="D2410" s="80">
        <v>41.45</v>
      </c>
      <c r="E2410" s="80">
        <v>31.53</v>
      </c>
      <c r="F2410" s="82">
        <f>-((D2410-C2410)/D2410)</f>
        <v>0.0332940514653989</v>
      </c>
      <c r="G2410" s="81">
        <f>C2410-D2410</f>
        <v>1.3800384332407845</v>
      </c>
      <c r="H2410" s="80">
        <v>780</v>
      </c>
      <c r="I2410" s="80">
        <v>253</v>
      </c>
    </row>
    <row r="2411" spans="2:9" ht="12.75">
      <c r="B2411" s="79" t="s">
        <v>96</v>
      </c>
      <c r="C2411" s="81">
        <f>(6/5)^1.68*E2411</f>
        <v>63.01571465011228</v>
      </c>
      <c r="D2411" s="80">
        <v>63.95</v>
      </c>
      <c r="E2411" s="80">
        <v>46.39</v>
      </c>
      <c r="F2411" s="82">
        <f>-((D2411-C2411)/D2411)</f>
        <v>-0.014609622359464006</v>
      </c>
      <c r="G2411" s="81">
        <f>C2411-D2411</f>
        <v>-0.9342853498877233</v>
      </c>
      <c r="H2411" s="80">
        <v>780</v>
      </c>
      <c r="I2411" s="80">
        <v>253</v>
      </c>
    </row>
    <row r="2412" spans="2:9" ht="12.75">
      <c r="B2412" s="79" t="s">
        <v>97</v>
      </c>
      <c r="C2412" s="81">
        <f>(6/5)^1.68*E2412</f>
        <v>66.31660248369221</v>
      </c>
      <c r="D2412" s="80">
        <v>66.99</v>
      </c>
      <c r="E2412" s="80">
        <v>48.82</v>
      </c>
      <c r="F2412" s="82">
        <f>-((D2412-C2412)/D2412)</f>
        <v>-0.010052209528404049</v>
      </c>
      <c r="G2412" s="81">
        <f>C2412-D2412</f>
        <v>-0.6733975163077872</v>
      </c>
      <c r="H2412" s="80">
        <v>780</v>
      </c>
      <c r="I2412" s="80">
        <v>253</v>
      </c>
    </row>
    <row r="2413" spans="2:9" ht="12.75">
      <c r="B2413" s="79" t="s">
        <v>98</v>
      </c>
      <c r="C2413" s="81">
        <f>(6/5)^1.68*E2413</f>
        <v>56.33243557965415</v>
      </c>
      <c r="D2413" s="80">
        <v>57.93</v>
      </c>
      <c r="E2413" s="80">
        <v>41.47</v>
      </c>
      <c r="F2413" s="82">
        <f>-((D2413-C2413)/D2413)</f>
        <v>-0.02757749733032707</v>
      </c>
      <c r="G2413" s="81">
        <f>C2413-D2413</f>
        <v>-1.5975644203458472</v>
      </c>
      <c r="H2413" s="80">
        <v>780</v>
      </c>
      <c r="I2413" s="80">
        <v>253</v>
      </c>
    </row>
    <row r="2414" spans="2:9" ht="12.75">
      <c r="B2414" s="79" t="s">
        <v>103</v>
      </c>
      <c r="C2414" s="81">
        <f>(6/5)^1.68*E2414</f>
        <v>51.754661094401335</v>
      </c>
      <c r="D2414" s="80">
        <v>51.79</v>
      </c>
      <c r="E2414" s="80">
        <v>38.1</v>
      </c>
      <c r="F2414" s="82">
        <f>-((D2414-C2414)/D2414)</f>
        <v>-0.00068234998259633</v>
      </c>
      <c r="G2414" s="81">
        <f>C2414-D2414</f>
        <v>-0.03533890559866393</v>
      </c>
      <c r="H2414" s="80">
        <v>780</v>
      </c>
      <c r="I2414" s="80">
        <v>253</v>
      </c>
    </row>
    <row r="2415" spans="2:9" ht="12.75">
      <c r="B2415" s="79" t="s">
        <v>104</v>
      </c>
      <c r="C2415" s="81">
        <f>(6/5)^1.68*E2415</f>
        <v>43.68582416787262</v>
      </c>
      <c r="D2415" s="80">
        <v>44.38</v>
      </c>
      <c r="E2415" s="80">
        <v>32.16</v>
      </c>
      <c r="F2415" s="82">
        <f>-((D2415-C2415)/D2415)</f>
        <v>-0.015641636595930264</v>
      </c>
      <c r="G2415" s="81">
        <f>C2415-D2415</f>
        <v>-0.6941758321273852</v>
      </c>
      <c r="H2415" s="80">
        <v>780</v>
      </c>
      <c r="I2415" s="80">
        <v>253</v>
      </c>
    </row>
    <row r="2416" spans="2:9" ht="12.75">
      <c r="B2416" s="79" t="s">
        <v>105</v>
      </c>
      <c r="C2416" s="81">
        <f>(6/5)^1.68*E2416</f>
        <v>38.74128436777759</v>
      </c>
      <c r="D2416" s="80">
        <v>40.17</v>
      </c>
      <c r="E2416" s="80">
        <v>28.52</v>
      </c>
      <c r="F2416" s="82">
        <f>-((D2416-C2416)/D2416)</f>
        <v>-0.035566732193736954</v>
      </c>
      <c r="G2416" s="81">
        <f>C2416-D2416</f>
        <v>-1.4287156322224135</v>
      </c>
      <c r="H2416" s="80">
        <v>780</v>
      </c>
      <c r="I2416" s="80">
        <v>253</v>
      </c>
    </row>
    <row r="2417" spans="2:9" ht="12.75">
      <c r="B2417" s="79" t="s">
        <v>107</v>
      </c>
      <c r="C2417" s="81">
        <f>(6/5)^1.68*E2417</f>
        <v>56.10150927030905</v>
      </c>
      <c r="D2417" s="80">
        <v>54.73</v>
      </c>
      <c r="E2417" s="80">
        <v>41.3</v>
      </c>
      <c r="F2417" s="82">
        <f>-((D2417-C2417)/D2417)</f>
        <v>0.0250595518053911</v>
      </c>
      <c r="G2417" s="81">
        <f>C2417-D2417</f>
        <v>1.3715092703090548</v>
      </c>
      <c r="H2417" s="80">
        <v>780</v>
      </c>
      <c r="I2417" s="80">
        <v>253</v>
      </c>
    </row>
    <row r="2418" spans="2:9" ht="12.75">
      <c r="B2418" s="79" t="s">
        <v>83</v>
      </c>
      <c r="C2418" s="81">
        <f>(6/5)^1.68*E2418</f>
        <v>50.42343884052959</v>
      </c>
      <c r="D2418" s="80">
        <v>51.26</v>
      </c>
      <c r="E2418" s="80">
        <v>37.12</v>
      </c>
      <c r="F2418" s="82">
        <f>-((D2418-C2418)/D2418)</f>
        <v>-0.016319960192555723</v>
      </c>
      <c r="G2418" s="81">
        <f>C2418-D2418</f>
        <v>-0.8365611594704063</v>
      </c>
      <c r="H2418" s="80">
        <v>780</v>
      </c>
      <c r="I2418" s="80">
        <v>253</v>
      </c>
    </row>
    <row r="2419" spans="2:9" ht="12.75">
      <c r="B2419" s="79" t="s">
        <v>122</v>
      </c>
      <c r="C2419" s="81">
        <f>(6/5)^1.68*E2419</f>
        <v>26.42068656918913</v>
      </c>
      <c r="D2419" s="80">
        <v>26.51</v>
      </c>
      <c r="E2419" s="80">
        <v>19.45</v>
      </c>
      <c r="F2419" s="82">
        <f>-((D2419-C2419)/D2419)</f>
        <v>-0.0033690468053893647</v>
      </c>
      <c r="G2419" s="81">
        <f>C2419-D2419</f>
        <v>-0.08931343081087206</v>
      </c>
      <c r="H2419" s="80">
        <v>780</v>
      </c>
      <c r="I2419" s="80">
        <v>253</v>
      </c>
    </row>
    <row r="2420" spans="2:9" ht="12.75">
      <c r="B2420" s="79" t="s">
        <v>97</v>
      </c>
      <c r="C2420" s="81">
        <f>(6/5)^1.68*E2420</f>
        <v>24.42385318838152</v>
      </c>
      <c r="D2420" s="80">
        <v>24.42</v>
      </c>
      <c r="E2420" s="80">
        <v>17.98</v>
      </c>
      <c r="F2420" s="82">
        <f>-((D2420-C2420)/D2420)</f>
        <v>0.00015778822201144966</v>
      </c>
      <c r="G2420" s="81">
        <f>C2420-D2420</f>
        <v>0.003853188381519601</v>
      </c>
      <c r="H2420" s="80">
        <v>780</v>
      </c>
      <c r="I2420" s="80">
        <v>253</v>
      </c>
    </row>
    <row r="2421" spans="2:9" ht="12.75">
      <c r="B2421" s="79"/>
      <c r="C2421" s="81"/>
      <c r="D2421" s="80"/>
      <c r="E2421" s="80" t="s">
        <v>14</v>
      </c>
      <c r="F2421" s="82">
        <f>AVERAGE(F2407:F2420)</f>
        <v>0.0009503001475370173</v>
      </c>
      <c r="G2421" s="81">
        <f>AVERAGE(G2407:G2420)</f>
        <v>0.05531788511633019</v>
      </c>
      <c r="H2421" s="80"/>
      <c r="I2421" s="80"/>
    </row>
    <row r="2422" spans="2:9" ht="12.75">
      <c r="B2422" s="79"/>
      <c r="C2422" s="81"/>
      <c r="D2422" s="80"/>
      <c r="E2422" s="80"/>
      <c r="F2422" s="82"/>
      <c r="G2422" s="81"/>
      <c r="H2422" s="80"/>
      <c r="I2422" s="80"/>
    </row>
    <row r="2423" spans="1:9" ht="12.75">
      <c r="A2423" s="83" t="s">
        <v>0</v>
      </c>
      <c r="B2423" s="83" t="s">
        <v>1</v>
      </c>
      <c r="C2423" s="84" t="s">
        <v>247</v>
      </c>
      <c r="D2423" s="84" t="s">
        <v>218</v>
      </c>
      <c r="E2423" s="84" t="s">
        <v>73</v>
      </c>
      <c r="F2423" s="84" t="s">
        <v>5</v>
      </c>
      <c r="G2423" s="84" t="s">
        <v>6</v>
      </c>
      <c r="H2423" s="84" t="s">
        <v>7</v>
      </c>
      <c r="I2423" s="84" t="s">
        <v>8</v>
      </c>
    </row>
    <row r="2424" spans="1:9" ht="12.75">
      <c r="A2424" s="83" t="s">
        <v>328</v>
      </c>
      <c r="B2424" s="83" t="s">
        <v>91</v>
      </c>
      <c r="C2424" s="85">
        <f>(6/5)^2*E2424</f>
        <v>70.15679999999999</v>
      </c>
      <c r="D2424" s="84">
        <v>63.75</v>
      </c>
      <c r="E2424" s="84">
        <v>48.72</v>
      </c>
      <c r="F2424" s="86">
        <f>-((D2424-C2424)/D2424)</f>
        <v>0.1004988235294116</v>
      </c>
      <c r="G2424" s="85">
        <f>C2424-D2424</f>
        <v>6.40679999999999</v>
      </c>
      <c r="H2424" s="84">
        <v>780</v>
      </c>
      <c r="I2424" s="84">
        <v>253</v>
      </c>
    </row>
    <row r="2425" spans="1:9" ht="12.75">
      <c r="A2425" s="5"/>
      <c r="B2425" s="83" t="s">
        <v>92</v>
      </c>
      <c r="C2425" s="85">
        <f>(6/5)^2*E2425</f>
        <v>58.2192</v>
      </c>
      <c r="D2425" s="84">
        <v>53.73</v>
      </c>
      <c r="E2425" s="84">
        <v>40.43</v>
      </c>
      <c r="F2425" s="86">
        <f>-((D2425-C2425)/D2425)</f>
        <v>0.0835510887772195</v>
      </c>
      <c r="G2425" s="85">
        <f>C2425-D2425</f>
        <v>4.489200000000004</v>
      </c>
      <c r="H2425" s="84">
        <v>780</v>
      </c>
      <c r="I2425" s="84">
        <v>253</v>
      </c>
    </row>
    <row r="2426" spans="1:9" ht="12.75">
      <c r="A2426" s="5"/>
      <c r="B2426" s="83" t="s">
        <v>93</v>
      </c>
      <c r="C2426" s="85">
        <f>(6/5)^2*E2426</f>
        <v>40.4928</v>
      </c>
      <c r="D2426" s="84">
        <v>37.51</v>
      </c>
      <c r="E2426" s="84">
        <v>28.12</v>
      </c>
      <c r="F2426" s="86">
        <f>-((D2426-C2426)/D2426)</f>
        <v>0.07952012796587589</v>
      </c>
      <c r="G2426" s="85">
        <f>C2426-D2426</f>
        <v>2.9828000000000046</v>
      </c>
      <c r="H2426" s="84">
        <v>780</v>
      </c>
      <c r="I2426" s="84">
        <v>253</v>
      </c>
    </row>
    <row r="2427" spans="1:9" ht="12.75">
      <c r="A2427" s="5"/>
      <c r="B2427" s="83" t="s">
        <v>44</v>
      </c>
      <c r="C2427" s="85">
        <f>(6/5)^2*E2427</f>
        <v>45.4032</v>
      </c>
      <c r="D2427" s="84">
        <v>41.45</v>
      </c>
      <c r="E2427" s="84">
        <v>31.53</v>
      </c>
      <c r="F2427" s="86">
        <f>-((D2427-C2427)/D2427)</f>
        <v>0.09537273823884186</v>
      </c>
      <c r="G2427" s="85">
        <f>C2427-D2427</f>
        <v>3.9531999999999954</v>
      </c>
      <c r="H2427" s="84">
        <v>780</v>
      </c>
      <c r="I2427" s="84">
        <v>253</v>
      </c>
    </row>
    <row r="2428" spans="1:9" ht="12.75">
      <c r="A2428" s="5"/>
      <c r="B2428" s="83" t="s">
        <v>96</v>
      </c>
      <c r="C2428" s="85">
        <f>(6/5)^2*E2428</f>
        <v>66.8016</v>
      </c>
      <c r="D2428" s="84">
        <v>63.95</v>
      </c>
      <c r="E2428" s="84">
        <v>46.39</v>
      </c>
      <c r="F2428" s="86">
        <f>-((D2428-C2428)/D2428)</f>
        <v>0.044591086786551846</v>
      </c>
      <c r="G2428" s="85">
        <f>C2428-D2428</f>
        <v>2.8515999999999906</v>
      </c>
      <c r="H2428" s="84">
        <v>780</v>
      </c>
      <c r="I2428" s="84">
        <v>253</v>
      </c>
    </row>
    <row r="2429" spans="1:9" ht="12.75">
      <c r="A2429" s="5"/>
      <c r="B2429" s="83" t="s">
        <v>97</v>
      </c>
      <c r="C2429" s="85">
        <f>(6/5)^2*E2429</f>
        <v>70.3008</v>
      </c>
      <c r="D2429" s="84">
        <v>66.99</v>
      </c>
      <c r="E2429" s="84">
        <v>48.82</v>
      </c>
      <c r="F2429" s="86">
        <f>-((D2429-C2429)/D2429)</f>
        <v>0.04942230183609495</v>
      </c>
      <c r="G2429" s="85">
        <f>C2429-D2429</f>
        <v>3.3108000000000004</v>
      </c>
      <c r="H2429" s="84">
        <v>780</v>
      </c>
      <c r="I2429" s="84">
        <v>253</v>
      </c>
    </row>
    <row r="2430" spans="1:9" ht="12.75">
      <c r="A2430" s="5"/>
      <c r="B2430" s="83" t="s">
        <v>98</v>
      </c>
      <c r="C2430" s="85">
        <f>(6/5)^2*E2430</f>
        <v>59.7168</v>
      </c>
      <c r="D2430" s="84">
        <v>57.93</v>
      </c>
      <c r="E2430" s="84">
        <v>41.47</v>
      </c>
      <c r="F2430" s="86">
        <f>-((D2430-C2430)/D2430)</f>
        <v>0.030844122216468144</v>
      </c>
      <c r="G2430" s="85">
        <f>C2430-D2430</f>
        <v>1.7867999999999995</v>
      </c>
      <c r="H2430" s="84">
        <v>780</v>
      </c>
      <c r="I2430" s="84">
        <v>253</v>
      </c>
    </row>
    <row r="2431" spans="1:9" ht="12.75">
      <c r="A2431" s="5"/>
      <c r="B2431" s="83" t="s">
        <v>103</v>
      </c>
      <c r="C2431" s="85">
        <f>(6/5)^2*E2431</f>
        <v>54.864</v>
      </c>
      <c r="D2431" s="84">
        <v>51.79</v>
      </c>
      <c r="E2431" s="84">
        <v>38.1</v>
      </c>
      <c r="F2431" s="86">
        <f>-((D2431-C2431)/D2431)</f>
        <v>0.059355087854798184</v>
      </c>
      <c r="G2431" s="85">
        <f>C2431-D2431</f>
        <v>3.073999999999998</v>
      </c>
      <c r="H2431" s="84">
        <v>780</v>
      </c>
      <c r="I2431" s="84">
        <v>253</v>
      </c>
    </row>
    <row r="2432" spans="1:9" ht="12.75">
      <c r="A2432" s="5"/>
      <c r="B2432" s="83" t="s">
        <v>104</v>
      </c>
      <c r="C2432" s="85">
        <f>(6/5)^2*E2432</f>
        <v>46.310399999999994</v>
      </c>
      <c r="D2432" s="84">
        <v>44.38</v>
      </c>
      <c r="E2432" s="84">
        <v>32.16</v>
      </c>
      <c r="F2432" s="86">
        <f>-((D2432-C2432)/D2432)</f>
        <v>0.043497070752591065</v>
      </c>
      <c r="G2432" s="85">
        <f>C2432-D2432</f>
        <v>1.9303999999999917</v>
      </c>
      <c r="H2432" s="84">
        <v>780</v>
      </c>
      <c r="I2432" s="84">
        <v>253</v>
      </c>
    </row>
    <row r="2433" spans="1:9" ht="12.75">
      <c r="A2433" s="5"/>
      <c r="B2433" s="83" t="s">
        <v>105</v>
      </c>
      <c r="C2433" s="85">
        <f>(6/5)^2*E2433</f>
        <v>41.068799999999996</v>
      </c>
      <c r="D2433" s="84">
        <v>40.17</v>
      </c>
      <c r="E2433" s="84">
        <v>28.52</v>
      </c>
      <c r="F2433" s="86">
        <f>-((D2433-C2433)/D2433)</f>
        <v>0.022374906646751163</v>
      </c>
      <c r="G2433" s="85">
        <f>C2433-D2433</f>
        <v>0.8987999999999943</v>
      </c>
      <c r="H2433" s="84">
        <v>780</v>
      </c>
      <c r="I2433" s="84">
        <v>253</v>
      </c>
    </row>
    <row r="2434" spans="1:9" ht="12.75">
      <c r="A2434" s="5"/>
      <c r="B2434" s="83" t="s">
        <v>107</v>
      </c>
      <c r="C2434" s="85">
        <f>(6/5)^2*E2434</f>
        <v>59.471999999999994</v>
      </c>
      <c r="D2434" s="84">
        <v>54.73</v>
      </c>
      <c r="E2434" s="84">
        <v>41.3</v>
      </c>
      <c r="F2434" s="86">
        <f>-((D2434-C2434)/D2434)</f>
        <v>0.08664352274803577</v>
      </c>
      <c r="G2434" s="85">
        <f>C2434-D2434</f>
        <v>4.741999999999997</v>
      </c>
      <c r="H2434" s="84">
        <v>780</v>
      </c>
      <c r="I2434" s="84">
        <v>253</v>
      </c>
    </row>
    <row r="2435" spans="1:9" ht="12.75">
      <c r="A2435" s="5"/>
      <c r="B2435" s="83" t="s">
        <v>83</v>
      </c>
      <c r="C2435" s="85">
        <f>(6/5)^2*E2435</f>
        <v>53.452799999999996</v>
      </c>
      <c r="D2435" s="84">
        <v>51.26</v>
      </c>
      <c r="E2435" s="84">
        <v>37.12</v>
      </c>
      <c r="F2435" s="86">
        <f>-((D2435-C2435)/D2435)</f>
        <v>0.04277799453765116</v>
      </c>
      <c r="G2435" s="85">
        <f>C2435-D2435</f>
        <v>2.1927999999999983</v>
      </c>
      <c r="H2435" s="84">
        <v>780</v>
      </c>
      <c r="I2435" s="84">
        <v>253</v>
      </c>
    </row>
    <row r="2436" spans="1:9" ht="12.75">
      <c r="A2436" s="5"/>
      <c r="B2436" s="83" t="s">
        <v>122</v>
      </c>
      <c r="C2436" s="85">
        <f>(6/5)^2*E2436</f>
        <v>28.008</v>
      </c>
      <c r="D2436" s="84">
        <v>26.51</v>
      </c>
      <c r="E2436" s="84">
        <v>19.45</v>
      </c>
      <c r="F2436" s="86">
        <f>-((D2436-C2436)/D2436)</f>
        <v>0.056506978498679646</v>
      </c>
      <c r="G2436" s="85">
        <f>C2436-D2436</f>
        <v>1.4979999999999976</v>
      </c>
      <c r="H2436" s="84">
        <v>780</v>
      </c>
      <c r="I2436" s="84">
        <v>253</v>
      </c>
    </row>
    <row r="2437" spans="1:9" ht="12.75">
      <c r="A2437" s="5"/>
      <c r="B2437" s="83" t="s">
        <v>97</v>
      </c>
      <c r="C2437" s="85">
        <f>(6/5)^2*E2437</f>
        <v>25.8912</v>
      </c>
      <c r="D2437" s="84">
        <v>24.42</v>
      </c>
      <c r="E2437" s="84">
        <v>17.98</v>
      </c>
      <c r="F2437" s="86">
        <f>-((D2437-C2437)/D2437)</f>
        <v>0.06024570024570022</v>
      </c>
      <c r="G2437" s="85">
        <f>C2437-D2437</f>
        <v>1.4711999999999996</v>
      </c>
      <c r="H2437" s="84">
        <v>780</v>
      </c>
      <c r="I2437" s="84">
        <v>253</v>
      </c>
    </row>
    <row r="2438" spans="1:9" ht="12.75">
      <c r="A2438" s="5"/>
      <c r="B2438" s="83"/>
      <c r="C2438" s="85"/>
      <c r="D2438" s="84"/>
      <c r="E2438" s="84" t="s">
        <v>14</v>
      </c>
      <c r="F2438" s="86">
        <f>AVERAGE(F2424:F2437)</f>
        <v>0.06108582504533365</v>
      </c>
      <c r="G2438" s="85">
        <f>AVERAGE(G2424:G2437)</f>
        <v>2.9705999999999975</v>
      </c>
      <c r="H2438" s="84"/>
      <c r="I2438" s="84"/>
    </row>
    <row r="2439" spans="1:9" ht="12.75">
      <c r="A2439" s="5"/>
      <c r="B2439" s="83"/>
      <c r="C2439" s="85"/>
      <c r="D2439" s="84"/>
      <c r="E2439" s="84"/>
      <c r="F2439" s="86"/>
      <c r="G2439" s="85"/>
      <c r="H2439" s="84"/>
      <c r="I2439" s="84"/>
    </row>
    <row r="2440" spans="1:9" ht="12.75">
      <c r="A2440" s="69" t="s">
        <v>0</v>
      </c>
      <c r="B2440" s="69" t="s">
        <v>1</v>
      </c>
      <c r="C2440" s="70" t="s">
        <v>294</v>
      </c>
      <c r="D2440" s="70" t="s">
        <v>218</v>
      </c>
      <c r="E2440" s="70" t="s">
        <v>73</v>
      </c>
      <c r="F2440" s="70" t="s">
        <v>5</v>
      </c>
      <c r="G2440" s="70" t="s">
        <v>6</v>
      </c>
      <c r="H2440" s="70" t="s">
        <v>7</v>
      </c>
      <c r="I2440" s="70" t="s">
        <v>8</v>
      </c>
    </row>
    <row r="2441" spans="1:9" ht="12.75">
      <c r="A2441" s="69" t="s">
        <v>329</v>
      </c>
      <c r="B2441" s="69" t="s">
        <v>316</v>
      </c>
      <c r="C2441" s="71">
        <f>(5/4)^1.62*E2441</f>
        <v>63.3329510558769</v>
      </c>
      <c r="D2441" s="70">
        <v>61.07</v>
      </c>
      <c r="E2441" s="70">
        <v>44.12</v>
      </c>
      <c r="F2441" s="72">
        <f>-((D2441-C2441)/D2441)</f>
        <v>0.03705503612046663</v>
      </c>
      <c r="G2441" s="71">
        <f>C2441-D2441</f>
        <v>2.262951055876897</v>
      </c>
      <c r="H2441" s="70">
        <v>650</v>
      </c>
      <c r="I2441" s="70" t="s">
        <v>330</v>
      </c>
    </row>
    <row r="2442" spans="1:9" ht="12.75">
      <c r="A2442" s="73"/>
      <c r="B2442" s="69" t="s">
        <v>312</v>
      </c>
      <c r="C2442" s="71">
        <f>(5/4)^1.62*E2442</f>
        <v>55.52399244880595</v>
      </c>
      <c r="D2442" s="70">
        <v>53.8</v>
      </c>
      <c r="E2442" s="70">
        <v>38.68</v>
      </c>
      <c r="F2442" s="72">
        <f>-((D2442-C2442)/D2442)</f>
        <v>0.03204446930866081</v>
      </c>
      <c r="G2442" s="71">
        <f>C2442-D2442</f>
        <v>1.7239924488059515</v>
      </c>
      <c r="H2442" s="70">
        <v>650</v>
      </c>
      <c r="I2442" s="70" t="s">
        <v>330</v>
      </c>
    </row>
    <row r="2443" spans="1:9" ht="12.75">
      <c r="A2443" s="73"/>
      <c r="B2443" s="69" t="s">
        <v>300</v>
      </c>
      <c r="C2443" s="71">
        <f>(5/4)^1.62*E2443</f>
        <v>50.212752219731954</v>
      </c>
      <c r="D2443" s="70">
        <v>49.25</v>
      </c>
      <c r="E2443" s="70">
        <v>34.98</v>
      </c>
      <c r="F2443" s="72">
        <f>-((D2443-C2443)/D2443)</f>
        <v>0.019548268420953373</v>
      </c>
      <c r="G2443" s="71">
        <f>C2443-D2443</f>
        <v>0.9627522197319536</v>
      </c>
      <c r="H2443" s="70">
        <v>650</v>
      </c>
      <c r="I2443" s="70" t="s">
        <v>330</v>
      </c>
    </row>
    <row r="2444" spans="1:9" ht="12.75">
      <c r="A2444" s="73"/>
      <c r="B2444" s="69" t="s">
        <v>299</v>
      </c>
      <c r="C2444" s="71">
        <f>(5/4)^1.62*E2444</f>
        <v>36.77674991050694</v>
      </c>
      <c r="D2444" s="70">
        <v>36.17</v>
      </c>
      <c r="E2444" s="70">
        <v>25.62</v>
      </c>
      <c r="F2444" s="72">
        <f>-((D2444-C2444)/D2444)</f>
        <v>0.016774949143128052</v>
      </c>
      <c r="G2444" s="71">
        <f>C2444-D2444</f>
        <v>0.6067499105069416</v>
      </c>
      <c r="H2444" s="70">
        <v>650</v>
      </c>
      <c r="I2444" s="70" t="s">
        <v>330</v>
      </c>
    </row>
    <row r="2445" spans="1:9" ht="12.75">
      <c r="A2445" s="73"/>
      <c r="B2445" s="69" t="s">
        <v>288</v>
      </c>
      <c r="C2445" s="71">
        <f>(5/4)^1.62*E2445</f>
        <v>45.28908898034715</v>
      </c>
      <c r="D2445" s="70">
        <v>46.53</v>
      </c>
      <c r="E2445" s="70">
        <v>31.55</v>
      </c>
      <c r="F2445" s="72">
        <f>-((D2445-C2445)/D2445)</f>
        <v>-0.026669052646740785</v>
      </c>
      <c r="G2445" s="71">
        <f>C2445-D2445</f>
        <v>-1.2409110196528488</v>
      </c>
      <c r="H2445" s="70">
        <v>650</v>
      </c>
      <c r="I2445" s="70" t="s">
        <v>330</v>
      </c>
    </row>
    <row r="2446" spans="1:9" ht="12.75">
      <c r="A2446" s="73"/>
      <c r="B2446" s="69" t="s">
        <v>284</v>
      </c>
      <c r="C2446" s="71">
        <f>(5/4)^1.62*E2446</f>
        <v>55.23689838236951</v>
      </c>
      <c r="D2446" s="70">
        <v>56.67</v>
      </c>
      <c r="E2446" s="70">
        <v>38.48</v>
      </c>
      <c r="F2446" s="72">
        <f>-((D2446-C2446)/D2446)</f>
        <v>-0.02528854098518601</v>
      </c>
      <c r="G2446" s="71">
        <f>C2446-D2446</f>
        <v>-1.4331016176304914</v>
      </c>
      <c r="H2446" s="70">
        <v>650</v>
      </c>
      <c r="I2446" s="70" t="s">
        <v>330</v>
      </c>
    </row>
    <row r="2447" spans="1:9" ht="12.75">
      <c r="A2447" s="73"/>
      <c r="B2447" s="69" t="s">
        <v>286</v>
      </c>
      <c r="C2447" s="71">
        <f>(5/4)^1.62*E2447</f>
        <v>49.451952943675415</v>
      </c>
      <c r="D2447" s="70">
        <v>49.71</v>
      </c>
      <c r="E2447" s="70">
        <v>34.45</v>
      </c>
      <c r="F2447" s="72">
        <f>-((D2447-C2447)/D2447)</f>
        <v>-0.005191049211920848</v>
      </c>
      <c r="G2447" s="71">
        <f>C2447-D2447</f>
        <v>-0.25804705632458536</v>
      </c>
      <c r="H2447" s="70">
        <v>650</v>
      </c>
      <c r="I2447" s="70" t="s">
        <v>330</v>
      </c>
    </row>
    <row r="2448" spans="1:9" ht="12.75">
      <c r="A2448" s="73"/>
      <c r="B2448" s="69" t="s">
        <v>289</v>
      </c>
      <c r="C2448" s="71">
        <f>(5/4)^1.62*E2448</f>
        <v>46.06424295972552</v>
      </c>
      <c r="D2448" s="70">
        <v>47.01</v>
      </c>
      <c r="E2448" s="70">
        <v>32.09</v>
      </c>
      <c r="F2448" s="72">
        <f>-((D2448-C2448)/D2448)</f>
        <v>-0.0201182097484467</v>
      </c>
      <c r="G2448" s="71">
        <f>C2448-D2448</f>
        <v>-0.9457570402744793</v>
      </c>
      <c r="H2448" s="70">
        <v>650</v>
      </c>
      <c r="I2448" s="70" t="s">
        <v>330</v>
      </c>
    </row>
    <row r="2449" spans="1:9" ht="12.75">
      <c r="A2449" s="73"/>
      <c r="B2449" s="69" t="s">
        <v>308</v>
      </c>
      <c r="C2449" s="71">
        <f>(5/4)^1.62*E2449</f>
        <v>55.79673181192056</v>
      </c>
      <c r="D2449" s="70">
        <v>53.63</v>
      </c>
      <c r="E2449" s="70">
        <v>38.87</v>
      </c>
      <c r="F2449" s="72">
        <f>-((D2449-C2449)/D2449)</f>
        <v>0.040401488195423385</v>
      </c>
      <c r="G2449" s="71">
        <f>C2449-D2449</f>
        <v>2.166731811920556</v>
      </c>
      <c r="H2449" s="70">
        <v>650</v>
      </c>
      <c r="I2449" s="70" t="s">
        <v>330</v>
      </c>
    </row>
    <row r="2450" spans="1:9" ht="12.75">
      <c r="A2450" s="73"/>
      <c r="B2450" s="69" t="s">
        <v>287</v>
      </c>
      <c r="C2450" s="71">
        <f>(5/4)^1.62*E2450</f>
        <v>48.748572480906155</v>
      </c>
      <c r="D2450" s="70">
        <v>49.49</v>
      </c>
      <c r="E2450" s="70">
        <v>33.96</v>
      </c>
      <c r="F2450" s="72">
        <f>-((D2450-C2450)/D2450)</f>
        <v>-0.014981360256493166</v>
      </c>
      <c r="G2450" s="71">
        <f>C2450-D2450</f>
        <v>-0.7414275190938469</v>
      </c>
      <c r="H2450" s="70">
        <v>650</v>
      </c>
      <c r="I2450" s="70" t="s">
        <v>330</v>
      </c>
    </row>
    <row r="2451" spans="1:9" ht="12.75">
      <c r="A2451" s="73"/>
      <c r="B2451" s="69" t="s">
        <v>242</v>
      </c>
      <c r="C2451" s="71">
        <f>(5/4)^1.62*E2451</f>
        <v>41.75783196317904</v>
      </c>
      <c r="D2451" s="70">
        <v>41.72</v>
      </c>
      <c r="E2451" s="70">
        <v>29.09</v>
      </c>
      <c r="F2451" s="72">
        <f>-((D2451-C2451)/D2451)</f>
        <v>0.0009068064040996546</v>
      </c>
      <c r="G2451" s="71">
        <f>C2451-D2451</f>
        <v>0.03783196317903759</v>
      </c>
      <c r="H2451" s="70">
        <v>650</v>
      </c>
      <c r="I2451" s="70" t="s">
        <v>330</v>
      </c>
    </row>
    <row r="2452" spans="1:9" ht="12.75">
      <c r="A2452" s="73"/>
      <c r="B2452" s="69" t="s">
        <v>148</v>
      </c>
      <c r="C2452" s="71">
        <f>(5/4)^1.62*E2452</f>
        <v>33.37468522323522</v>
      </c>
      <c r="D2452" s="70">
        <v>34.57</v>
      </c>
      <c r="E2452" s="70">
        <v>23.25</v>
      </c>
      <c r="F2452" s="72">
        <f>-((D2452-C2452)/D2452)</f>
        <v>-0.03457664960268389</v>
      </c>
      <c r="G2452" s="71">
        <f>C2452-D2452</f>
        <v>-1.195314776764782</v>
      </c>
      <c r="H2452" s="70">
        <v>650</v>
      </c>
      <c r="I2452" s="70" t="s">
        <v>330</v>
      </c>
    </row>
    <row r="2453" spans="1:9" ht="12.75">
      <c r="A2453" s="73"/>
      <c r="B2453" s="69" t="s">
        <v>243</v>
      </c>
      <c r="C2453" s="71">
        <f>(5/4)^1.62*E2453</f>
        <v>41.65734903992628</v>
      </c>
      <c r="D2453" s="70">
        <v>41.07</v>
      </c>
      <c r="E2453" s="70">
        <v>29.02</v>
      </c>
      <c r="F2453" s="72">
        <f>-((D2453-C2453)/D2453)</f>
        <v>0.014301169708455823</v>
      </c>
      <c r="G2453" s="71">
        <f>C2453-D2453</f>
        <v>0.5873490399262806</v>
      </c>
      <c r="H2453" s="70">
        <v>650</v>
      </c>
      <c r="I2453" s="70" t="s">
        <v>330</v>
      </c>
    </row>
    <row r="2454" spans="1:9" ht="12.75">
      <c r="A2454" s="73"/>
      <c r="B2454" s="69" t="s">
        <v>244</v>
      </c>
      <c r="C2454" s="71">
        <f>(5/4)^1.62*E2454</f>
        <v>35.47047190822118</v>
      </c>
      <c r="D2454" s="70">
        <v>36.36</v>
      </c>
      <c r="E2454" s="70">
        <v>24.71</v>
      </c>
      <c r="F2454" s="72">
        <f>-((D2454-C2454)/D2454)</f>
        <v>-0.024464468970814668</v>
      </c>
      <c r="G2454" s="71">
        <f>C2454-D2454</f>
        <v>-0.8895280917788213</v>
      </c>
      <c r="H2454" s="70">
        <v>650</v>
      </c>
      <c r="I2454" s="70" t="s">
        <v>330</v>
      </c>
    </row>
    <row r="2455" spans="1:8" ht="12.75">
      <c r="A2455" s="73"/>
      <c r="B2455" s="69"/>
      <c r="C2455" s="71"/>
      <c r="D2455" s="70"/>
      <c r="E2455" s="70" t="s">
        <v>14</v>
      </c>
      <c r="F2455" s="72">
        <f>AVERAGE(F2441:F2454)</f>
        <v>0.0006959182770644044</v>
      </c>
      <c r="G2455" s="71">
        <f>AVERAGE(G2441:G2454)</f>
        <v>0.1174479520305545</v>
      </c>
      <c r="H2455" s="70"/>
    </row>
    <row r="2456" spans="1:8" ht="12.75">
      <c r="A2456" s="73"/>
      <c r="B2456" s="69"/>
      <c r="C2456" s="71"/>
      <c r="D2456" s="70"/>
      <c r="E2456" s="70"/>
      <c r="F2456" s="72"/>
      <c r="G2456" s="71"/>
      <c r="H2456" s="70"/>
    </row>
    <row r="2457" spans="1:9" ht="12.75">
      <c r="A2457" s="73" t="s">
        <v>0</v>
      </c>
      <c r="B2457" s="73" t="s">
        <v>1</v>
      </c>
      <c r="C2457" s="74" t="s">
        <v>219</v>
      </c>
      <c r="D2457" s="74" t="s">
        <v>218</v>
      </c>
      <c r="E2457" s="74" t="s">
        <v>73</v>
      </c>
      <c r="F2457" s="74" t="s">
        <v>5</v>
      </c>
      <c r="G2457" s="74" t="s">
        <v>6</v>
      </c>
      <c r="H2457" s="74" t="s">
        <v>7</v>
      </c>
      <c r="I2457" s="74" t="s">
        <v>8</v>
      </c>
    </row>
    <row r="2458" spans="1:9" ht="12.75">
      <c r="A2458" s="73" t="s">
        <v>329</v>
      </c>
      <c r="B2458" s="73" t="s">
        <v>316</v>
      </c>
      <c r="C2458" s="75">
        <f>(5/4)^2*E2458</f>
        <v>68.9375</v>
      </c>
      <c r="D2458" s="74">
        <v>61.07</v>
      </c>
      <c r="E2458" s="74">
        <v>44.12</v>
      </c>
      <c r="F2458" s="76">
        <f>-((D2458-C2458)/D2458)</f>
        <v>0.12882757491403307</v>
      </c>
      <c r="G2458" s="75">
        <f>C2458-D2458</f>
        <v>7.8675</v>
      </c>
      <c r="H2458" s="74">
        <v>650</v>
      </c>
      <c r="I2458" s="74" t="s">
        <v>330</v>
      </c>
    </row>
    <row r="2459" spans="1:9" ht="12.75">
      <c r="A2459" s="73"/>
      <c r="B2459" s="73" t="s">
        <v>312</v>
      </c>
      <c r="C2459" s="75">
        <f>(5/4)^2*E2459</f>
        <v>60.4375</v>
      </c>
      <c r="D2459" s="74">
        <v>53.8</v>
      </c>
      <c r="E2459" s="74">
        <v>38.68</v>
      </c>
      <c r="F2459" s="76">
        <f>-((D2459-C2459)/D2459)</f>
        <v>0.12337360594795545</v>
      </c>
      <c r="G2459" s="75">
        <f>C2459-D2459</f>
        <v>6.637500000000003</v>
      </c>
      <c r="H2459" s="74">
        <v>650</v>
      </c>
      <c r="I2459" s="74" t="s">
        <v>330</v>
      </c>
    </row>
    <row r="2460" spans="1:9" ht="12.75">
      <c r="A2460" s="73"/>
      <c r="B2460" s="73" t="s">
        <v>300</v>
      </c>
      <c r="C2460" s="75">
        <f>(5/4)^2*E2460</f>
        <v>54.65624999999999</v>
      </c>
      <c r="D2460" s="74">
        <v>49.25</v>
      </c>
      <c r="E2460" s="74">
        <v>34.98</v>
      </c>
      <c r="F2460" s="76">
        <f>-((D2460-C2460)/D2460)</f>
        <v>0.10977157360406077</v>
      </c>
      <c r="G2460" s="75">
        <f>C2460-D2460</f>
        <v>5.406249999999993</v>
      </c>
      <c r="H2460" s="74">
        <v>650</v>
      </c>
      <c r="I2460" s="74" t="s">
        <v>330</v>
      </c>
    </row>
    <row r="2461" spans="1:9" ht="12.75">
      <c r="A2461" s="73"/>
      <c r="B2461" s="73" t="s">
        <v>299</v>
      </c>
      <c r="C2461" s="75">
        <f>(5/4)^2*E2461</f>
        <v>40.03125</v>
      </c>
      <c r="D2461" s="74">
        <v>36.17</v>
      </c>
      <c r="E2461" s="74">
        <v>25.62</v>
      </c>
      <c r="F2461" s="76">
        <f>-((D2461-C2461)/D2461)</f>
        <v>0.10675283384019901</v>
      </c>
      <c r="G2461" s="75">
        <f>C2461-D2461</f>
        <v>3.8612499999999983</v>
      </c>
      <c r="H2461" s="74">
        <v>650</v>
      </c>
      <c r="I2461" s="74" t="s">
        <v>330</v>
      </c>
    </row>
    <row r="2462" spans="1:9" ht="12.75">
      <c r="A2462" s="73"/>
      <c r="B2462" s="73" t="s">
        <v>288</v>
      </c>
      <c r="C2462" s="75">
        <f>(5/4)^2*E2462</f>
        <v>49.296875</v>
      </c>
      <c r="D2462" s="74">
        <v>46.53</v>
      </c>
      <c r="E2462" s="74">
        <v>31.55</v>
      </c>
      <c r="F2462" s="76">
        <f>-((D2462-C2462)/D2462)</f>
        <v>0.05946432409198364</v>
      </c>
      <c r="G2462" s="75">
        <f>C2462-D2462</f>
        <v>2.766874999999999</v>
      </c>
      <c r="H2462" s="74">
        <v>650</v>
      </c>
      <c r="I2462" s="74" t="s">
        <v>330</v>
      </c>
    </row>
    <row r="2463" spans="1:9" ht="12.75">
      <c r="A2463" s="73"/>
      <c r="B2463" s="73" t="s">
        <v>284</v>
      </c>
      <c r="C2463" s="75">
        <f>(5/4)^2*E2463</f>
        <v>60.12499999999999</v>
      </c>
      <c r="D2463" s="74">
        <v>56.67</v>
      </c>
      <c r="E2463" s="74">
        <v>38.48</v>
      </c>
      <c r="F2463" s="76">
        <f>-((D2463-C2463)/D2463)</f>
        <v>0.06096700194106213</v>
      </c>
      <c r="G2463" s="75">
        <f>C2463-D2463</f>
        <v>3.454999999999991</v>
      </c>
      <c r="H2463" s="74">
        <v>650</v>
      </c>
      <c r="I2463" s="74" t="s">
        <v>330</v>
      </c>
    </row>
    <row r="2464" spans="1:9" ht="12.75">
      <c r="A2464" s="73"/>
      <c r="B2464" s="73" t="s">
        <v>286</v>
      </c>
      <c r="C2464" s="75">
        <f>(5/4)^2*E2464</f>
        <v>53.82812500000001</v>
      </c>
      <c r="D2464" s="74">
        <v>49.71</v>
      </c>
      <c r="E2464" s="74">
        <v>34.45</v>
      </c>
      <c r="F2464" s="76">
        <f>-((D2464-C2464)/D2464)</f>
        <v>0.08284298933816146</v>
      </c>
      <c r="G2464" s="75">
        <f>C2464-D2464</f>
        <v>4.118125000000006</v>
      </c>
      <c r="H2464" s="74">
        <v>650</v>
      </c>
      <c r="I2464" s="74" t="s">
        <v>330</v>
      </c>
    </row>
    <row r="2465" spans="1:9" ht="12.75">
      <c r="A2465" s="73"/>
      <c r="B2465" s="73" t="s">
        <v>289</v>
      </c>
      <c r="C2465" s="75">
        <f>(5/4)^2*E2465</f>
        <v>50.14062500000001</v>
      </c>
      <c r="D2465" s="74">
        <v>47.01</v>
      </c>
      <c r="E2465" s="74">
        <v>32.09</v>
      </c>
      <c r="F2465" s="76">
        <f>-((D2465-C2465)/D2465)</f>
        <v>0.06659487343118504</v>
      </c>
      <c r="G2465" s="75">
        <f>C2465-D2465</f>
        <v>3.130625000000009</v>
      </c>
      <c r="H2465" s="74">
        <v>650</v>
      </c>
      <c r="I2465" s="74" t="s">
        <v>330</v>
      </c>
    </row>
    <row r="2466" spans="1:9" ht="12.75">
      <c r="A2466" s="73"/>
      <c r="B2466" s="73" t="s">
        <v>308</v>
      </c>
      <c r="C2466" s="75">
        <f>(5/4)^2*E2466</f>
        <v>60.73437499999999</v>
      </c>
      <c r="D2466" s="74">
        <v>53.63</v>
      </c>
      <c r="E2466" s="74">
        <v>38.87</v>
      </c>
      <c r="F2466" s="76">
        <f>-((D2466-C2466)/D2466)</f>
        <v>0.1324701659518924</v>
      </c>
      <c r="G2466" s="75">
        <f>C2466-D2466</f>
        <v>7.10437499999999</v>
      </c>
      <c r="H2466" s="74">
        <v>650</v>
      </c>
      <c r="I2466" s="74" t="s">
        <v>330</v>
      </c>
    </row>
    <row r="2467" spans="1:9" ht="12.75">
      <c r="A2467" s="73"/>
      <c r="B2467" s="73" t="s">
        <v>287</v>
      </c>
      <c r="C2467" s="75">
        <f>(5/4)^2*E2467</f>
        <v>53.0625</v>
      </c>
      <c r="D2467" s="74">
        <v>49.49</v>
      </c>
      <c r="E2467" s="74">
        <v>33.96</v>
      </c>
      <c r="F2467" s="76">
        <f>-((D2467-C2467)/D2467)</f>
        <v>0.07218630026267929</v>
      </c>
      <c r="G2467" s="75">
        <f>C2467-D2467</f>
        <v>3.572499999999998</v>
      </c>
      <c r="H2467" s="74">
        <v>650</v>
      </c>
      <c r="I2467" s="74" t="s">
        <v>330</v>
      </c>
    </row>
    <row r="2468" spans="1:9" ht="12.75">
      <c r="A2468" s="73"/>
      <c r="B2468" s="73" t="s">
        <v>242</v>
      </c>
      <c r="C2468" s="75">
        <f>(5/4)^2*E2468</f>
        <v>45.453125</v>
      </c>
      <c r="D2468" s="74">
        <v>41.72</v>
      </c>
      <c r="E2468" s="74">
        <v>29.09</v>
      </c>
      <c r="F2468" s="76">
        <f>-((D2468-C2468)/D2468)</f>
        <v>0.0894804650047939</v>
      </c>
      <c r="G2468" s="75">
        <f>C2468-D2468</f>
        <v>3.733125000000001</v>
      </c>
      <c r="H2468" s="74">
        <v>650</v>
      </c>
      <c r="I2468" s="74" t="s">
        <v>330</v>
      </c>
    </row>
    <row r="2469" spans="1:9" ht="12.75">
      <c r="A2469" s="73"/>
      <c r="B2469" s="73" t="s">
        <v>148</v>
      </c>
      <c r="C2469" s="75">
        <f>(5/4)^2*E2469</f>
        <v>36.328125</v>
      </c>
      <c r="D2469" s="74">
        <v>34.57</v>
      </c>
      <c r="E2469" s="74">
        <v>23.25</v>
      </c>
      <c r="F2469" s="76">
        <f>-((D2469-C2469)/D2469)</f>
        <v>0.05085695689904541</v>
      </c>
      <c r="G2469" s="75">
        <f>C2469-D2469</f>
        <v>1.7581249999999997</v>
      </c>
      <c r="H2469" s="74">
        <v>650</v>
      </c>
      <c r="I2469" s="74" t="s">
        <v>330</v>
      </c>
    </row>
    <row r="2470" spans="1:9" ht="12.75">
      <c r="A2470" s="73"/>
      <c r="B2470" s="73" t="s">
        <v>243</v>
      </c>
      <c r="C2470" s="75">
        <f>(5/4)^2*E2470</f>
        <v>45.34375</v>
      </c>
      <c r="D2470" s="74">
        <v>41.07</v>
      </c>
      <c r="E2470" s="74">
        <v>29.02</v>
      </c>
      <c r="F2470" s="76">
        <f>-((D2470-C2470)/D2470)</f>
        <v>0.10406014122230338</v>
      </c>
      <c r="G2470" s="75">
        <f>C2470-D2470</f>
        <v>4.27375</v>
      </c>
      <c r="H2470" s="74">
        <v>650</v>
      </c>
      <c r="I2470" s="74" t="s">
        <v>330</v>
      </c>
    </row>
    <row r="2471" spans="1:9" ht="12.75">
      <c r="A2471" s="73"/>
      <c r="B2471" s="73" t="s">
        <v>244</v>
      </c>
      <c r="C2471" s="75">
        <f>(5/4)^2*E2471</f>
        <v>38.609375</v>
      </c>
      <c r="D2471" s="74">
        <v>36.36</v>
      </c>
      <c r="E2471" s="74">
        <v>24.71</v>
      </c>
      <c r="F2471" s="76">
        <f>-((D2471-C2471)/D2471)</f>
        <v>0.061863998899890006</v>
      </c>
      <c r="G2471" s="75">
        <f>C2471-D2471</f>
        <v>2.2493750000000006</v>
      </c>
      <c r="H2471" s="74">
        <v>650</v>
      </c>
      <c r="I2471" s="74" t="s">
        <v>330</v>
      </c>
    </row>
    <row r="2472" spans="1:8" ht="12.75">
      <c r="A2472" s="73"/>
      <c r="B2472" s="69"/>
      <c r="C2472" s="71"/>
      <c r="D2472" s="70"/>
      <c r="E2472" s="74" t="s">
        <v>14</v>
      </c>
      <c r="F2472" s="76">
        <f>AVERAGE(F2458:F2471)</f>
        <v>0.08925091466780322</v>
      </c>
      <c r="G2472" s="75">
        <f>AVERAGE(G2458:G2471)</f>
        <v>4.2810267857142845</v>
      </c>
      <c r="H2472" s="70"/>
    </row>
    <row r="2473" spans="1:8" ht="12.75">
      <c r="A2473" s="73"/>
      <c r="B2473" s="69"/>
      <c r="C2473" s="71"/>
      <c r="D2473" s="70"/>
      <c r="E2473" s="74"/>
      <c r="F2473" s="76"/>
      <c r="G2473" s="75"/>
      <c r="H2473" s="70"/>
    </row>
    <row r="2474" spans="1:9" ht="12.75">
      <c r="A2474" s="79" t="s">
        <v>0</v>
      </c>
      <c r="B2474" s="79" t="s">
        <v>1</v>
      </c>
      <c r="C2474" s="80" t="s">
        <v>331</v>
      </c>
      <c r="D2474" s="80" t="s">
        <v>194</v>
      </c>
      <c r="E2474" s="80" t="s">
        <v>218</v>
      </c>
      <c r="F2474" s="80" t="s">
        <v>5</v>
      </c>
      <c r="G2474" s="80" t="s">
        <v>6</v>
      </c>
      <c r="H2474" s="80" t="s">
        <v>7</v>
      </c>
      <c r="I2474" s="80" t="s">
        <v>8</v>
      </c>
    </row>
    <row r="2475" spans="1:9" ht="12.75">
      <c r="A2475" s="79" t="s">
        <v>329</v>
      </c>
      <c r="B2475" s="79" t="s">
        <v>300</v>
      </c>
      <c r="C2475" s="81">
        <f>(6/5)^1.61*E2475</f>
        <v>66.05231463652018</v>
      </c>
      <c r="D2475" s="80">
        <v>63.02</v>
      </c>
      <c r="E2475" s="80">
        <v>49.25</v>
      </c>
      <c r="F2475" s="82">
        <f>-((D2475-C2475)/D2475)</f>
        <v>0.048116703213585785</v>
      </c>
      <c r="G2475" s="81">
        <f>C2475-D2475</f>
        <v>3.0323146365201765</v>
      </c>
      <c r="H2475" s="80">
        <v>650</v>
      </c>
      <c r="I2475" s="80" t="s">
        <v>330</v>
      </c>
    </row>
    <row r="2476" spans="2:9" ht="12.75">
      <c r="B2476" s="79" t="s">
        <v>299</v>
      </c>
      <c r="C2476" s="81">
        <f>(6/5)^1.61*E2476</f>
        <v>48.50989280005959</v>
      </c>
      <c r="D2476" s="80">
        <v>46.7</v>
      </c>
      <c r="E2476" s="80">
        <v>36.17</v>
      </c>
      <c r="F2476" s="82">
        <f>-((D2476-C2476)/D2476)</f>
        <v>0.03875573447665066</v>
      </c>
      <c r="G2476" s="81">
        <f>C2476-D2476</f>
        <v>1.8098928000595862</v>
      </c>
      <c r="H2476" s="80">
        <v>650</v>
      </c>
      <c r="I2476" s="80" t="s">
        <v>330</v>
      </c>
    </row>
    <row r="2477" spans="2:9" ht="12.75">
      <c r="B2477" s="79" t="s">
        <v>301</v>
      </c>
      <c r="C2477" s="81">
        <f>(6/5)^1.61*E2477</f>
        <v>47.12849413862577</v>
      </c>
      <c r="D2477" s="80">
        <v>45.77</v>
      </c>
      <c r="E2477" s="80">
        <v>35.14</v>
      </c>
      <c r="F2477" s="82">
        <f>-((D2477-C2477)/D2477)</f>
        <v>0.0296808857029881</v>
      </c>
      <c r="G2477" s="81">
        <f>C2477-D2477</f>
        <v>1.3584941386257654</v>
      </c>
      <c r="H2477" s="80">
        <v>650</v>
      </c>
      <c r="I2477" s="80" t="s">
        <v>330</v>
      </c>
    </row>
    <row r="2478" spans="2:9" ht="12.75">
      <c r="B2478" s="79" t="s">
        <v>91</v>
      </c>
      <c r="C2478" s="81">
        <f>(6/5)^1.61*E2478</f>
        <v>43.37323564152412</v>
      </c>
      <c r="D2478" s="80">
        <v>42.1</v>
      </c>
      <c r="E2478" s="80">
        <v>32.34</v>
      </c>
      <c r="F2478" s="82">
        <f>-((D2478-C2478)/D2478)</f>
        <v>0.03024312687705741</v>
      </c>
      <c r="G2478" s="81">
        <f>C2478-D2478</f>
        <v>1.273235641524117</v>
      </c>
      <c r="H2478" s="80">
        <v>650</v>
      </c>
      <c r="I2478" s="80" t="s">
        <v>330</v>
      </c>
    </row>
    <row r="2479" spans="2:9" ht="12.75">
      <c r="B2479" s="79" t="s">
        <v>92</v>
      </c>
      <c r="C2479" s="81">
        <f>(6/5)^1.61*E2479</f>
        <v>35.70177899744502</v>
      </c>
      <c r="D2479" s="80">
        <v>35</v>
      </c>
      <c r="E2479" s="80">
        <v>26.62</v>
      </c>
      <c r="F2479" s="82">
        <f>-((D2479-C2479)/D2479)</f>
        <v>0.02005082849842909</v>
      </c>
      <c r="G2479" s="81">
        <f>C2479-D2479</f>
        <v>0.7017789974450181</v>
      </c>
      <c r="H2479" s="80">
        <v>650</v>
      </c>
      <c r="I2479" s="80" t="s">
        <v>330</v>
      </c>
    </row>
    <row r="2480" spans="2:9" ht="12.75">
      <c r="B2480" s="79" t="s">
        <v>93</v>
      </c>
      <c r="C2480" s="81">
        <f>(6/5)^1.61*E2480</f>
        <v>24.503061693588297</v>
      </c>
      <c r="D2480" s="80">
        <v>24.25</v>
      </c>
      <c r="E2480" s="80">
        <v>18.27</v>
      </c>
      <c r="F2480" s="82">
        <f>-((D2480-C2480)/D2480)</f>
        <v>0.010435533756218423</v>
      </c>
      <c r="G2480" s="81">
        <f>C2480-D2480</f>
        <v>0.2530616935882968</v>
      </c>
      <c r="H2480" s="80">
        <v>650</v>
      </c>
      <c r="I2480" s="80" t="s">
        <v>330</v>
      </c>
    </row>
    <row r="2481" spans="2:9" ht="12.75">
      <c r="B2481" s="79" t="s">
        <v>96</v>
      </c>
      <c r="C2481" s="81">
        <f>(6/5)^1.61*E2481</f>
        <v>38.93398363245037</v>
      </c>
      <c r="D2481" s="80">
        <v>40.13</v>
      </c>
      <c r="E2481" s="80">
        <v>29.03</v>
      </c>
      <c r="F2481" s="82">
        <f>-((D2481-C2481)/D2481)</f>
        <v>-0.029803547658849534</v>
      </c>
      <c r="G2481" s="81">
        <f>C2481-D2481</f>
        <v>-1.1960163675496318</v>
      </c>
      <c r="H2481" s="80">
        <v>650</v>
      </c>
      <c r="I2481" s="80" t="s">
        <v>330</v>
      </c>
    </row>
    <row r="2482" spans="2:9" ht="12.75">
      <c r="B2482" s="79" t="s">
        <v>242</v>
      </c>
      <c r="C2482" s="81">
        <f>(6/5)^1.61*E2482</f>
        <v>55.95335160681465</v>
      </c>
      <c r="D2482" s="80">
        <v>56.47</v>
      </c>
      <c r="E2482" s="80">
        <v>41.72</v>
      </c>
      <c r="F2482" s="82">
        <f>-((D2482-C2482)/D2482)</f>
        <v>-0.009149077265545407</v>
      </c>
      <c r="G2482" s="81">
        <f>C2482-D2482</f>
        <v>-0.5166483931853492</v>
      </c>
      <c r="H2482" s="80">
        <v>650</v>
      </c>
      <c r="I2482" s="80" t="s">
        <v>330</v>
      </c>
    </row>
    <row r="2483" spans="2:9" ht="12.75">
      <c r="B2483" s="79" t="s">
        <v>148</v>
      </c>
      <c r="C2483" s="81">
        <f>(6/5)^1.61*E2483</f>
        <v>46.364030801715785</v>
      </c>
      <c r="D2483" s="80">
        <v>47.33</v>
      </c>
      <c r="E2483" s="80">
        <v>34.57</v>
      </c>
      <c r="F2483" s="82">
        <f>-((D2483-C2483)/D2483)</f>
        <v>-0.020409237233978732</v>
      </c>
      <c r="G2483" s="81">
        <f>C2483-D2483</f>
        <v>-0.9659691982842133</v>
      </c>
      <c r="H2483" s="80">
        <v>650</v>
      </c>
      <c r="I2483" s="80" t="s">
        <v>330</v>
      </c>
    </row>
    <row r="2484" spans="2:9" ht="12.75">
      <c r="B2484" s="79" t="s">
        <v>244</v>
      </c>
      <c r="C2484" s="81">
        <f>(6/5)^1.61*E2484</f>
        <v>48.764713912362915</v>
      </c>
      <c r="D2484" s="80">
        <v>49.73</v>
      </c>
      <c r="E2484" s="80">
        <v>36.36</v>
      </c>
      <c r="F2484" s="82">
        <f>-((D2484-C2484)/D2484)</f>
        <v>-0.019410538661513824</v>
      </c>
      <c r="G2484" s="81">
        <f>C2484-D2484</f>
        <v>-0.9652860876370823</v>
      </c>
      <c r="H2484" s="80">
        <v>650</v>
      </c>
      <c r="I2484" s="80" t="s">
        <v>330</v>
      </c>
    </row>
    <row r="2485" spans="2:9" ht="12.75">
      <c r="B2485" s="79" t="s">
        <v>122</v>
      </c>
      <c r="C2485" s="81">
        <f>(6/5)^1.61*E2485</f>
        <v>45.14357179015774</v>
      </c>
      <c r="D2485" s="80">
        <v>46.26</v>
      </c>
      <c r="E2485" s="80">
        <v>33.66</v>
      </c>
      <c r="F2485" s="82">
        <f>-((D2485-C2485)/D2485)</f>
        <v>-0.024133770208436114</v>
      </c>
      <c r="G2485" s="81">
        <f>C2485-D2485</f>
        <v>-1.1164282098422547</v>
      </c>
      <c r="H2485" s="80">
        <v>650</v>
      </c>
      <c r="I2485" s="80" t="s">
        <v>330</v>
      </c>
    </row>
    <row r="2486" spans="2:9" ht="12.75">
      <c r="B2486" s="79" t="s">
        <v>97</v>
      </c>
      <c r="C2486" s="81">
        <f>(6/5)^1.61*E2486</f>
        <v>41.50901803046293</v>
      </c>
      <c r="D2486" s="80">
        <v>42.45</v>
      </c>
      <c r="E2486" s="80">
        <v>30.95</v>
      </c>
      <c r="F2486" s="82">
        <f>-((D2486-C2486)/D2486)</f>
        <v>-0.0221668308489298</v>
      </c>
      <c r="G2486" s="81">
        <f>C2486-D2486</f>
        <v>-0.94098196953707</v>
      </c>
      <c r="H2486" s="80">
        <v>650</v>
      </c>
      <c r="I2486" s="80" t="s">
        <v>330</v>
      </c>
    </row>
    <row r="2487" spans="2:9" ht="12.75">
      <c r="B2487" s="79" t="s">
        <v>98</v>
      </c>
      <c r="C2487" s="81">
        <f>(6/5)^1.61*E2487</f>
        <v>34.19967559860436</v>
      </c>
      <c r="D2487" s="80">
        <v>35.91</v>
      </c>
      <c r="E2487" s="80">
        <v>25.5</v>
      </c>
      <c r="F2487" s="82">
        <f>-((D2487-C2487)/D2487)</f>
        <v>-0.047628081353262006</v>
      </c>
      <c r="G2487" s="81">
        <f>C2487-D2487</f>
        <v>-1.7103244013956385</v>
      </c>
      <c r="H2487" s="80">
        <v>650</v>
      </c>
      <c r="I2487" s="80" t="s">
        <v>330</v>
      </c>
    </row>
    <row r="2488" spans="2:9" ht="12.75">
      <c r="B2488" s="79" t="s">
        <v>101</v>
      </c>
      <c r="C2488" s="81">
        <f>(6/5)^1.61*E2488</f>
        <v>46.64567518899841</v>
      </c>
      <c r="D2488" s="80">
        <v>46.28</v>
      </c>
      <c r="E2488" s="80">
        <v>34.78</v>
      </c>
      <c r="F2488" s="82">
        <f>-((D2488-C2488)/D2488)</f>
        <v>0.007901365362973409</v>
      </c>
      <c r="G2488" s="81">
        <f>C2488-D2488</f>
        <v>0.36567518899840934</v>
      </c>
      <c r="H2488" s="80">
        <v>650</v>
      </c>
      <c r="I2488" s="80" t="s">
        <v>330</v>
      </c>
    </row>
    <row r="2489" spans="2:8" ht="12.75">
      <c r="B2489" s="79"/>
      <c r="C2489" s="81"/>
      <c r="D2489" s="80"/>
      <c r="E2489" s="80" t="s">
        <v>14</v>
      </c>
      <c r="F2489" s="82">
        <f>AVERAGE(F2475:F2488)</f>
        <v>0.0008916496183848179</v>
      </c>
      <c r="G2489" s="81">
        <f>AVERAGE(G2475:G2488)</f>
        <v>0.0987713192378664</v>
      </c>
      <c r="H2489" s="80"/>
    </row>
    <row r="2490" spans="2:8" ht="12.75">
      <c r="B2490" s="79"/>
      <c r="C2490" s="81"/>
      <c r="D2490" s="80"/>
      <c r="E2490" s="80"/>
      <c r="F2490" s="82"/>
      <c r="G2490" s="81"/>
      <c r="H2490" s="80"/>
    </row>
    <row r="2491" spans="1:9" ht="12.75">
      <c r="A2491" s="83" t="s">
        <v>0</v>
      </c>
      <c r="B2491" s="83" t="s">
        <v>1</v>
      </c>
      <c r="C2491" s="84" t="s">
        <v>247</v>
      </c>
      <c r="D2491" s="84" t="s">
        <v>194</v>
      </c>
      <c r="E2491" s="84" t="s">
        <v>218</v>
      </c>
      <c r="F2491" s="84" t="s">
        <v>5</v>
      </c>
      <c r="G2491" s="84" t="s">
        <v>6</v>
      </c>
      <c r="H2491" s="84" t="s">
        <v>7</v>
      </c>
      <c r="I2491" s="84" t="s">
        <v>8</v>
      </c>
    </row>
    <row r="2492" spans="1:9" ht="12.75">
      <c r="A2492" s="83" t="s">
        <v>329</v>
      </c>
      <c r="B2492" s="83" t="s">
        <v>300</v>
      </c>
      <c r="C2492" s="85">
        <f>(6/5)^2*E2492</f>
        <v>70.92</v>
      </c>
      <c r="D2492" s="84">
        <v>63.02</v>
      </c>
      <c r="E2492" s="84">
        <v>49.25</v>
      </c>
      <c r="F2492" s="86">
        <f>-((D2492-C2492)/D2492)</f>
        <v>0.12535702951443983</v>
      </c>
      <c r="G2492" s="85">
        <f>C2492-D2492</f>
        <v>7.899999999999999</v>
      </c>
      <c r="H2492" s="84">
        <v>650</v>
      </c>
      <c r="I2492" s="84" t="s">
        <v>330</v>
      </c>
    </row>
    <row r="2493" spans="1:9" ht="12.75">
      <c r="A2493" s="5"/>
      <c r="B2493" s="83" t="s">
        <v>299</v>
      </c>
      <c r="C2493" s="85">
        <f>(6/5)^2*E2493</f>
        <v>52.0848</v>
      </c>
      <c r="D2493" s="84">
        <v>46.7</v>
      </c>
      <c r="E2493" s="84">
        <v>36.17</v>
      </c>
      <c r="F2493" s="86">
        <f>-((D2493-C2493)/D2493)</f>
        <v>0.11530620985010703</v>
      </c>
      <c r="G2493" s="85">
        <f>C2493-D2493</f>
        <v>5.3847999999999985</v>
      </c>
      <c r="H2493" s="84">
        <v>650</v>
      </c>
      <c r="I2493" s="84" t="s">
        <v>330</v>
      </c>
    </row>
    <row r="2494" spans="1:9" ht="12.75">
      <c r="A2494" s="5"/>
      <c r="B2494" s="83" t="s">
        <v>301</v>
      </c>
      <c r="C2494" s="85">
        <f>(6/5)^2*E2494</f>
        <v>50.6016</v>
      </c>
      <c r="D2494" s="84">
        <v>45.77</v>
      </c>
      <c r="E2494" s="84">
        <v>35.14</v>
      </c>
      <c r="F2494" s="86">
        <f>-((D2494-C2494)/D2494)</f>
        <v>0.10556259558662867</v>
      </c>
      <c r="G2494" s="85">
        <f>C2494-D2494</f>
        <v>4.831599999999995</v>
      </c>
      <c r="H2494" s="84">
        <v>650</v>
      </c>
      <c r="I2494" s="84" t="s">
        <v>330</v>
      </c>
    </row>
    <row r="2495" spans="1:9" ht="12.75">
      <c r="A2495" s="5"/>
      <c r="B2495" s="83" t="s">
        <v>91</v>
      </c>
      <c r="C2495" s="85">
        <f>(6/5)^2*E2495</f>
        <v>46.5696</v>
      </c>
      <c r="D2495" s="84">
        <v>42.1</v>
      </c>
      <c r="E2495" s="84">
        <v>32.34</v>
      </c>
      <c r="F2495" s="86">
        <f>-((D2495-C2495)/D2495)</f>
        <v>0.10616627078384797</v>
      </c>
      <c r="G2495" s="85">
        <f>C2495-D2495</f>
        <v>4.4696</v>
      </c>
      <c r="H2495" s="84">
        <v>650</v>
      </c>
      <c r="I2495" s="84" t="s">
        <v>330</v>
      </c>
    </row>
    <row r="2496" spans="1:9" ht="12.75">
      <c r="A2496" s="5"/>
      <c r="B2496" s="83" t="s">
        <v>92</v>
      </c>
      <c r="C2496" s="85">
        <f>(6/5)^2*E2496</f>
        <v>38.3328</v>
      </c>
      <c r="D2496" s="84">
        <v>35</v>
      </c>
      <c r="E2496" s="84">
        <v>26.62</v>
      </c>
      <c r="F2496" s="86">
        <f>-((D2496-C2496)/D2496)</f>
        <v>0.09522285714285711</v>
      </c>
      <c r="G2496" s="85">
        <f>C2496-D2496</f>
        <v>3.332799999999999</v>
      </c>
      <c r="H2496" s="84">
        <v>650</v>
      </c>
      <c r="I2496" s="84" t="s">
        <v>330</v>
      </c>
    </row>
    <row r="2497" spans="1:9" ht="12.75">
      <c r="A2497" s="5"/>
      <c r="B2497" s="83" t="s">
        <v>93</v>
      </c>
      <c r="C2497" s="85">
        <f>(6/5)^2*E2497</f>
        <v>26.308799999999998</v>
      </c>
      <c r="D2497" s="84">
        <v>24.25</v>
      </c>
      <c r="E2497" s="84">
        <v>18.27</v>
      </c>
      <c r="F2497" s="86">
        <f>-((D2497-C2497)/D2497)</f>
        <v>0.08489896907216486</v>
      </c>
      <c r="G2497" s="85">
        <f>C2497-D2497</f>
        <v>2.058799999999998</v>
      </c>
      <c r="H2497" s="84">
        <v>650</v>
      </c>
      <c r="I2497" s="84" t="s">
        <v>330</v>
      </c>
    </row>
    <row r="2498" spans="1:9" ht="12.75">
      <c r="A2498" s="5"/>
      <c r="B2498" s="83" t="s">
        <v>96</v>
      </c>
      <c r="C2498" s="85">
        <f>(6/5)^2*E2498</f>
        <v>41.8032</v>
      </c>
      <c r="D2498" s="84">
        <v>40.13</v>
      </c>
      <c r="E2498" s="84">
        <v>29.03</v>
      </c>
      <c r="F2498" s="86">
        <f>-((D2498-C2498)/D2498)</f>
        <v>0.04169449289808109</v>
      </c>
      <c r="G2498" s="85">
        <f>C2498-D2498</f>
        <v>1.6731999999999942</v>
      </c>
      <c r="H2498" s="84">
        <v>650</v>
      </c>
      <c r="I2498" s="84" t="s">
        <v>330</v>
      </c>
    </row>
    <row r="2499" spans="1:9" ht="12.75">
      <c r="A2499" s="5"/>
      <c r="B2499" s="83" t="s">
        <v>242</v>
      </c>
      <c r="C2499" s="85">
        <f>(6/5)^2*E2499</f>
        <v>60.0768</v>
      </c>
      <c r="D2499" s="84">
        <v>56.47</v>
      </c>
      <c r="E2499" s="84">
        <v>41.72</v>
      </c>
      <c r="F2499" s="86">
        <f>-((D2499-C2499)/D2499)</f>
        <v>0.0638710819904374</v>
      </c>
      <c r="G2499" s="85">
        <f>C2499-D2499</f>
        <v>3.6068</v>
      </c>
      <c r="H2499" s="84">
        <v>650</v>
      </c>
      <c r="I2499" s="84" t="s">
        <v>330</v>
      </c>
    </row>
    <row r="2500" spans="1:9" ht="12.75">
      <c r="A2500" s="5"/>
      <c r="B2500" s="83" t="s">
        <v>148</v>
      </c>
      <c r="C2500" s="85">
        <f>(6/5)^2*E2500</f>
        <v>49.7808</v>
      </c>
      <c r="D2500" s="84">
        <v>47.33</v>
      </c>
      <c r="E2500" s="84">
        <v>34.57</v>
      </c>
      <c r="F2500" s="86">
        <f>-((D2500-C2500)/D2500)</f>
        <v>0.05178111134586945</v>
      </c>
      <c r="G2500" s="85">
        <f>C2500-D2500</f>
        <v>2.450800000000001</v>
      </c>
      <c r="H2500" s="84">
        <v>650</v>
      </c>
      <c r="I2500" s="84" t="s">
        <v>330</v>
      </c>
    </row>
    <row r="2501" spans="1:9" ht="12.75">
      <c r="A2501" s="5"/>
      <c r="B2501" s="83" t="s">
        <v>244</v>
      </c>
      <c r="C2501" s="85">
        <f>(6/5)^2*E2501</f>
        <v>52.358399999999996</v>
      </c>
      <c r="D2501" s="84">
        <v>49.73</v>
      </c>
      <c r="E2501" s="84">
        <v>36.36</v>
      </c>
      <c r="F2501" s="86">
        <f>-((D2501-C2501)/D2501)</f>
        <v>0.05285340840538909</v>
      </c>
      <c r="G2501" s="85">
        <f>C2501-D2501</f>
        <v>2.628399999999999</v>
      </c>
      <c r="H2501" s="84">
        <v>650</v>
      </c>
      <c r="I2501" s="84" t="s">
        <v>330</v>
      </c>
    </row>
    <row r="2502" spans="1:9" ht="12.75">
      <c r="A2502" s="5"/>
      <c r="B2502" s="83" t="s">
        <v>122</v>
      </c>
      <c r="C2502" s="85">
        <f>(6/5)^2*E2502</f>
        <v>48.47039999999999</v>
      </c>
      <c r="D2502" s="84">
        <v>46.26</v>
      </c>
      <c r="E2502" s="84">
        <v>33.66</v>
      </c>
      <c r="F2502" s="86">
        <f>-((D2502-C2502)/D2502)</f>
        <v>0.04778210116731502</v>
      </c>
      <c r="G2502" s="85">
        <f>C2502-D2502</f>
        <v>2.210399999999993</v>
      </c>
      <c r="H2502" s="84">
        <v>650</v>
      </c>
      <c r="I2502" s="84" t="s">
        <v>330</v>
      </c>
    </row>
    <row r="2503" spans="1:9" ht="12.75">
      <c r="A2503" s="5"/>
      <c r="B2503" s="83" t="s">
        <v>97</v>
      </c>
      <c r="C2503" s="85">
        <f>(6/5)^2*E2503</f>
        <v>44.568</v>
      </c>
      <c r="D2503" s="84">
        <v>42.45</v>
      </c>
      <c r="E2503" s="84">
        <v>30.95</v>
      </c>
      <c r="F2503" s="86">
        <f>-((D2503-C2503)/D2503)</f>
        <v>0.04989399293286207</v>
      </c>
      <c r="G2503" s="85">
        <f>C2503-D2503</f>
        <v>2.117999999999995</v>
      </c>
      <c r="H2503" s="84">
        <v>650</v>
      </c>
      <c r="I2503" s="84" t="s">
        <v>330</v>
      </c>
    </row>
    <row r="2504" spans="1:9" ht="12.75">
      <c r="A2504" s="5"/>
      <c r="B2504" s="83" t="s">
        <v>98</v>
      </c>
      <c r="C2504" s="85">
        <f>(6/5)^2*E2504</f>
        <v>36.72</v>
      </c>
      <c r="D2504" s="84">
        <v>35.91</v>
      </c>
      <c r="E2504" s="84">
        <v>25.5</v>
      </c>
      <c r="F2504" s="86">
        <f>-((D2504-C2504)/D2504)</f>
        <v>0.022556390977443674</v>
      </c>
      <c r="G2504" s="85">
        <f>C2504-D2504</f>
        <v>0.8100000000000023</v>
      </c>
      <c r="H2504" s="84">
        <v>650</v>
      </c>
      <c r="I2504" s="84" t="s">
        <v>330</v>
      </c>
    </row>
    <row r="2505" spans="1:9" ht="12.75">
      <c r="A2505" s="5"/>
      <c r="B2505" s="83" t="s">
        <v>101</v>
      </c>
      <c r="C2505" s="85">
        <f>(6/5)^2*E2505</f>
        <v>50.0832</v>
      </c>
      <c r="D2505" s="84">
        <v>46.28</v>
      </c>
      <c r="E2505" s="84">
        <v>34.78</v>
      </c>
      <c r="F2505" s="86">
        <f>-((D2505-C2505)/D2505)</f>
        <v>0.08217804667242862</v>
      </c>
      <c r="G2505" s="85">
        <f>C2505-D2505</f>
        <v>3.803199999999997</v>
      </c>
      <c r="H2505" s="84">
        <v>650</v>
      </c>
      <c r="I2505" s="84" t="s">
        <v>330</v>
      </c>
    </row>
    <row r="2506" spans="1:9" ht="12.75">
      <c r="A2506" s="5"/>
      <c r="B2506" s="83"/>
      <c r="C2506" s="85"/>
      <c r="D2506" s="84"/>
      <c r="E2506" s="84" t="s">
        <v>14</v>
      </c>
      <c r="F2506" s="86">
        <f>AVERAGE(F2492:F2505)</f>
        <v>0.07465175416713372</v>
      </c>
      <c r="G2506" s="85">
        <f>AVERAGE(G2492:G2505)</f>
        <v>3.377028571428569</v>
      </c>
      <c r="H2506" s="84"/>
      <c r="I2506" s="5"/>
    </row>
    <row r="2507" spans="1:9" ht="12.75">
      <c r="A2507" s="5"/>
      <c r="B2507" s="83"/>
      <c r="C2507" s="85"/>
      <c r="D2507" s="84"/>
      <c r="E2507" s="84"/>
      <c r="F2507" s="86"/>
      <c r="G2507" s="85"/>
      <c r="H2507" s="84"/>
      <c r="I2507" s="5"/>
    </row>
    <row r="2508" spans="1:9" ht="12.75">
      <c r="A2508" s="69" t="s">
        <v>0</v>
      </c>
      <c r="B2508" s="69" t="s">
        <v>1</v>
      </c>
      <c r="C2508" s="70" t="s">
        <v>332</v>
      </c>
      <c r="D2508" s="70" t="s">
        <v>218</v>
      </c>
      <c r="E2508" s="70" t="s">
        <v>73</v>
      </c>
      <c r="F2508" s="70" t="s">
        <v>5</v>
      </c>
      <c r="G2508" s="70" t="s">
        <v>6</v>
      </c>
      <c r="H2508" s="70" t="s">
        <v>7</v>
      </c>
      <c r="I2508" s="70" t="s">
        <v>8</v>
      </c>
    </row>
    <row r="2509" spans="1:9" ht="12.75">
      <c r="A2509" s="69" t="s">
        <v>333</v>
      </c>
      <c r="B2509" s="69" t="s">
        <v>334</v>
      </c>
      <c r="C2509" s="71">
        <f>(5/4)^1.57*E2509</f>
        <v>52.02627107036362</v>
      </c>
      <c r="D2509" s="70">
        <v>49.48</v>
      </c>
      <c r="E2509" s="70">
        <v>36.65</v>
      </c>
      <c r="F2509" s="72">
        <f>-((D2509-C2509)/D2509)</f>
        <v>0.05146061176967711</v>
      </c>
      <c r="G2509" s="71">
        <f>C2509-D2509</f>
        <v>2.5462710703636233</v>
      </c>
      <c r="H2509" s="70">
        <v>560</v>
      </c>
      <c r="I2509" s="70" t="s">
        <v>330</v>
      </c>
    </row>
    <row r="2510" spans="2:9" ht="12.75">
      <c r="B2510" s="69" t="s">
        <v>316</v>
      </c>
      <c r="C2510" s="71">
        <f>(5/4)^1.57*E2510</f>
        <v>44.26136785740621</v>
      </c>
      <c r="D2510" s="70">
        <v>42.95</v>
      </c>
      <c r="E2510" s="70">
        <v>31.18</v>
      </c>
      <c r="F2510" s="72">
        <f>-((D2510-C2510)/D2510)</f>
        <v>0.030532429741704552</v>
      </c>
      <c r="G2510" s="71">
        <f>C2510-D2510</f>
        <v>1.3113678574062106</v>
      </c>
      <c r="H2510" s="70">
        <v>560</v>
      </c>
      <c r="I2510" s="70" t="s">
        <v>330</v>
      </c>
    </row>
    <row r="2511" spans="2:9" ht="12.75">
      <c r="B2511" s="69" t="s">
        <v>312</v>
      </c>
      <c r="C2511" s="71">
        <f>(5/4)^1.57*E2511</f>
        <v>38.25669864519235</v>
      </c>
      <c r="D2511" s="70">
        <v>37.3</v>
      </c>
      <c r="E2511" s="70">
        <v>26.95</v>
      </c>
      <c r="F2511" s="72">
        <f>-((D2511-C2511)/D2511)</f>
        <v>0.025648757243762844</v>
      </c>
      <c r="G2511" s="71">
        <f>C2511-D2511</f>
        <v>0.956698645192354</v>
      </c>
      <c r="H2511" s="70">
        <v>560</v>
      </c>
      <c r="I2511" s="70" t="s">
        <v>330</v>
      </c>
    </row>
    <row r="2512" spans="2:9" ht="12.75">
      <c r="B2512" s="69" t="s">
        <v>300</v>
      </c>
      <c r="C2512" s="71">
        <f>(5/4)^1.57*E2512</f>
        <v>34.8072078211546</v>
      </c>
      <c r="D2512" s="70">
        <v>34.18</v>
      </c>
      <c r="E2512" s="70">
        <v>24.52</v>
      </c>
      <c r="F2512" s="72">
        <f>-((D2512-C2512)/D2512)</f>
        <v>0.018350141051919216</v>
      </c>
      <c r="G2512" s="71">
        <f>C2512-D2512</f>
        <v>0.6272078211545988</v>
      </c>
      <c r="H2512" s="70">
        <v>560</v>
      </c>
      <c r="I2512" s="70" t="s">
        <v>330</v>
      </c>
    </row>
    <row r="2513" spans="2:9" ht="12.75">
      <c r="B2513" s="69" t="s">
        <v>299</v>
      </c>
      <c r="C2513" s="71">
        <f>(5/4)^1.57*E2513</f>
        <v>25.296266042943515</v>
      </c>
      <c r="D2513" s="70">
        <v>24.67</v>
      </c>
      <c r="E2513" s="70">
        <v>17.82</v>
      </c>
      <c r="F2513" s="72">
        <f>-((D2513-C2513)/D2513)</f>
        <v>0.025385733398602065</v>
      </c>
      <c r="G2513" s="71">
        <f>C2513-D2513</f>
        <v>0.626266042943513</v>
      </c>
      <c r="H2513" s="70">
        <v>560</v>
      </c>
      <c r="I2513" s="70" t="s">
        <v>330</v>
      </c>
    </row>
    <row r="2514" spans="2:9" ht="12.75">
      <c r="B2514" s="69" t="s">
        <v>335</v>
      </c>
      <c r="C2514" s="71">
        <f>(5/4)^1.57*E2514</f>
        <v>56.56881042712116</v>
      </c>
      <c r="D2514" s="70">
        <v>59.13</v>
      </c>
      <c r="E2514" s="70">
        <v>39.85</v>
      </c>
      <c r="F2514" s="72">
        <f>-((D2514-C2514)/D2514)</f>
        <v>-0.04331455391305336</v>
      </c>
      <c r="G2514" s="71">
        <f>C2514-D2514</f>
        <v>-2.5611895728788454</v>
      </c>
      <c r="H2514" s="70">
        <v>560</v>
      </c>
      <c r="I2514" s="70" t="s">
        <v>330</v>
      </c>
    </row>
    <row r="2515" spans="2:9" ht="12.75">
      <c r="B2515" s="69" t="s">
        <v>317</v>
      </c>
      <c r="C2515" s="71">
        <f>(5/4)^1.57*E2515</f>
        <v>42.04687992098692</v>
      </c>
      <c r="D2515" s="70">
        <v>41.94</v>
      </c>
      <c r="E2515" s="70">
        <v>29.62</v>
      </c>
      <c r="F2515" s="72">
        <f>-((D2515-C2515)/D2515)</f>
        <v>0.0025484005957777727</v>
      </c>
      <c r="G2515" s="71">
        <f>C2515-D2515</f>
        <v>0.10687992098691979</v>
      </c>
      <c r="H2515" s="70">
        <v>560</v>
      </c>
      <c r="I2515" s="70" t="s">
        <v>330</v>
      </c>
    </row>
    <row r="2516" spans="2:9" ht="12.75">
      <c r="B2516" s="69" t="s">
        <v>283</v>
      </c>
      <c r="C2516" s="71">
        <f>(5/4)^1.57*E2516</f>
        <v>39.59106958123988</v>
      </c>
      <c r="D2516" s="70">
        <v>40.19</v>
      </c>
      <c r="E2516" s="70">
        <v>27.89</v>
      </c>
      <c r="F2516" s="72">
        <f>-((D2516-C2516)/D2516)</f>
        <v>-0.014902473718838499</v>
      </c>
      <c r="G2516" s="71">
        <f>C2516-D2516</f>
        <v>-0.5989304187601192</v>
      </c>
      <c r="H2516" s="70">
        <v>560</v>
      </c>
      <c r="I2516" s="70" t="s">
        <v>330</v>
      </c>
    </row>
    <row r="2517" spans="2:9" ht="12.75">
      <c r="B2517" s="69" t="s">
        <v>288</v>
      </c>
      <c r="C2517" s="71">
        <f>(5/4)^1.57*E2517</f>
        <v>30.264668464397065</v>
      </c>
      <c r="D2517" s="70">
        <v>31.12</v>
      </c>
      <c r="E2517" s="70">
        <v>21.32</v>
      </c>
      <c r="F2517" s="72">
        <f>-((D2517-C2517)/D2517)</f>
        <v>-0.02748494651680385</v>
      </c>
      <c r="G2517" s="71">
        <f>C2517-D2517</f>
        <v>-0.8553315356029358</v>
      </c>
      <c r="H2517" s="70">
        <v>560</v>
      </c>
      <c r="I2517" s="70" t="s">
        <v>330</v>
      </c>
    </row>
    <row r="2518" spans="2:9" ht="12.75">
      <c r="B2518" s="69" t="s">
        <v>318</v>
      </c>
      <c r="C2518" s="71">
        <f>(5/4)^1.57*E2518</f>
        <v>57.13662784671585</v>
      </c>
      <c r="D2518" s="70">
        <v>55.05</v>
      </c>
      <c r="E2518" s="70">
        <v>40.25</v>
      </c>
      <c r="F2518" s="72">
        <f>-((D2518-C2518)/D2518)</f>
        <v>0.03790422973144141</v>
      </c>
      <c r="G2518" s="71">
        <f>C2518-D2518</f>
        <v>2.0866278467158494</v>
      </c>
      <c r="H2518" s="70">
        <v>560</v>
      </c>
      <c r="I2518" s="70" t="s">
        <v>330</v>
      </c>
    </row>
    <row r="2519" spans="2:9" ht="12.75">
      <c r="B2519" s="69" t="s">
        <v>319</v>
      </c>
      <c r="C2519" s="71">
        <f>(5/4)^1.57*E2519</f>
        <v>40.08790982338523</v>
      </c>
      <c r="D2519" s="70">
        <v>40.38</v>
      </c>
      <c r="E2519" s="70">
        <v>28.24</v>
      </c>
      <c r="F2519" s="72">
        <f>-((D2519-C2519)/D2519)</f>
        <v>-0.0072335358250314695</v>
      </c>
      <c r="G2519" s="71">
        <f>C2519-D2519</f>
        <v>-0.29209017661477077</v>
      </c>
      <c r="H2519" s="70">
        <v>560</v>
      </c>
      <c r="I2519" s="70" t="s">
        <v>330</v>
      </c>
    </row>
    <row r="2520" spans="2:9" ht="12.75">
      <c r="B2520" s="69" t="s">
        <v>320</v>
      </c>
      <c r="C2520" s="71">
        <f>(5/4)^1.57*E2520</f>
        <v>39.73302393613855</v>
      </c>
      <c r="D2520" s="70">
        <v>39.45</v>
      </c>
      <c r="E2520" s="70">
        <v>27.99</v>
      </c>
      <c r="F2520" s="72">
        <f>-((D2520-C2520)/D2520)</f>
        <v>0.007174244262067123</v>
      </c>
      <c r="G2520" s="71">
        <f>C2520-D2520</f>
        <v>0.28302393613854804</v>
      </c>
      <c r="H2520" s="70">
        <v>560</v>
      </c>
      <c r="I2520" s="70" t="s">
        <v>330</v>
      </c>
    </row>
    <row r="2521" spans="2:9" ht="12.75">
      <c r="B2521" s="69" t="s">
        <v>284</v>
      </c>
      <c r="C2521" s="71">
        <f>(5/4)^1.57*E2521</f>
        <v>37.24882272541177</v>
      </c>
      <c r="D2521" s="70">
        <v>38.01</v>
      </c>
      <c r="E2521" s="70">
        <v>26.24</v>
      </c>
      <c r="F2521" s="72">
        <f>-((D2521-C2521)/D2521)</f>
        <v>-0.020025710986272763</v>
      </c>
      <c r="G2521" s="71">
        <f>C2521-D2521</f>
        <v>-0.7611772745882277</v>
      </c>
      <c r="H2521" s="70">
        <v>560</v>
      </c>
      <c r="I2521" s="70" t="s">
        <v>330</v>
      </c>
    </row>
    <row r="2522" spans="2:9" ht="12.75">
      <c r="B2522" s="69" t="s">
        <v>285</v>
      </c>
      <c r="C2522" s="71">
        <f>(5/4)^1.57*E2522</f>
        <v>43.86389566368993</v>
      </c>
      <c r="D2522" s="70">
        <v>44.4</v>
      </c>
      <c r="E2522" s="70">
        <v>30.9</v>
      </c>
      <c r="F2522" s="72">
        <f>-((D2522-C2522)/D2522)</f>
        <v>-0.01207442198896549</v>
      </c>
      <c r="G2522" s="71">
        <f>C2522-D2522</f>
        <v>-0.5361043363100677</v>
      </c>
      <c r="H2522" s="70">
        <v>560</v>
      </c>
      <c r="I2522" s="70" t="s">
        <v>330</v>
      </c>
    </row>
    <row r="2523" spans="2:9" ht="12.75">
      <c r="B2523" s="69" t="s">
        <v>286</v>
      </c>
      <c r="C2523" s="71">
        <f>(5/4)^1.57*E2523</f>
        <v>33.2457099172692</v>
      </c>
      <c r="D2523" s="70">
        <v>33.86</v>
      </c>
      <c r="E2523" s="70">
        <v>23.42</v>
      </c>
      <c r="F2523" s="72">
        <f>-((D2523-C2523)/D2523)</f>
        <v>-0.018142057966060155</v>
      </c>
      <c r="G2523" s="71">
        <f>C2523-D2523</f>
        <v>-0.6142900827307969</v>
      </c>
      <c r="H2523" s="70">
        <v>560</v>
      </c>
      <c r="I2523" s="70" t="s">
        <v>330</v>
      </c>
    </row>
    <row r="2524" spans="2:9" ht="12.75">
      <c r="B2524" s="69" t="s">
        <v>289</v>
      </c>
      <c r="C2524" s="71">
        <f>(5/4)^1.57*E2524</f>
        <v>30.505990867724808</v>
      </c>
      <c r="D2524" s="70">
        <v>31.48</v>
      </c>
      <c r="E2524" s="70">
        <v>21.49</v>
      </c>
      <c r="F2524" s="72">
        <f>-((D2524-C2524)/D2524)</f>
        <v>-0.030940569640253882</v>
      </c>
      <c r="G2524" s="71">
        <f>C2524-D2524</f>
        <v>-0.9740091322751923</v>
      </c>
      <c r="H2524" s="70">
        <v>560</v>
      </c>
      <c r="I2524" s="70" t="s">
        <v>330</v>
      </c>
    </row>
    <row r="2525" spans="2:9" ht="12.75">
      <c r="B2525" s="69" t="s">
        <v>308</v>
      </c>
      <c r="C2525" s="71">
        <f>(5/4)^1.57*E2525</f>
        <v>38.46963017754036</v>
      </c>
      <c r="D2525" s="70">
        <v>37.68</v>
      </c>
      <c r="E2525" s="70">
        <v>27.1</v>
      </c>
      <c r="F2525" s="72">
        <f>-((D2525-C2525)/D2525)</f>
        <v>0.020956214902875796</v>
      </c>
      <c r="G2525" s="71">
        <f>C2525-D2525</f>
        <v>0.78963017754036</v>
      </c>
      <c r="H2525" s="70">
        <v>560</v>
      </c>
      <c r="I2525" s="70" t="s">
        <v>330</v>
      </c>
    </row>
    <row r="2526" spans="2:9" ht="12.75">
      <c r="B2526" s="69" t="s">
        <v>287</v>
      </c>
      <c r="C2526" s="71">
        <f>(5/4)^1.57*E2526</f>
        <v>32.635306191204904</v>
      </c>
      <c r="D2526" s="70">
        <v>34.23</v>
      </c>
      <c r="E2526" s="70">
        <v>22.99</v>
      </c>
      <c r="F2526" s="72">
        <f>-((D2526-C2526)/D2526)</f>
        <v>-0.04658760761890426</v>
      </c>
      <c r="G2526" s="71">
        <f>C2526-D2526</f>
        <v>-1.5946938087950926</v>
      </c>
      <c r="H2526" s="70">
        <v>560</v>
      </c>
      <c r="I2526" s="70" t="s">
        <v>330</v>
      </c>
    </row>
    <row r="2527" spans="2:9" ht="12.75">
      <c r="B2527" s="69"/>
      <c r="C2527" s="71"/>
      <c r="D2527" s="70"/>
      <c r="E2527" s="70" t="s">
        <v>14</v>
      </c>
      <c r="F2527" s="72">
        <f>AVERAGE(F2509:F2526)</f>
        <v>-4.139530424199118E-05</v>
      </c>
      <c r="G2527" s="71">
        <f>AVERAGE(G2509:G2526)</f>
        <v>0.03034205443810715</v>
      </c>
      <c r="H2527" s="70"/>
      <c r="I2527" s="70"/>
    </row>
    <row r="2528" spans="2:9" ht="12.75">
      <c r="B2528" s="69"/>
      <c r="C2528" s="71"/>
      <c r="D2528" s="70"/>
      <c r="E2528" s="70"/>
      <c r="F2528" s="72"/>
      <c r="G2528" s="71"/>
      <c r="H2528" s="70"/>
      <c r="I2528" s="70"/>
    </row>
    <row r="2529" spans="1:9" ht="12.75">
      <c r="A2529" s="73" t="s">
        <v>0</v>
      </c>
      <c r="B2529" s="73" t="s">
        <v>1</v>
      </c>
      <c r="C2529" s="74" t="s">
        <v>219</v>
      </c>
      <c r="D2529" s="74" t="s">
        <v>218</v>
      </c>
      <c r="E2529" s="74" t="s">
        <v>73</v>
      </c>
      <c r="F2529" s="74" t="s">
        <v>5</v>
      </c>
      <c r="G2529" s="74" t="s">
        <v>6</v>
      </c>
      <c r="H2529" s="74" t="s">
        <v>7</v>
      </c>
      <c r="I2529" s="74" t="s">
        <v>8</v>
      </c>
    </row>
    <row r="2530" spans="1:9" ht="12.75">
      <c r="A2530" s="73" t="s">
        <v>333</v>
      </c>
      <c r="B2530" s="73" t="s">
        <v>334</v>
      </c>
      <c r="C2530" s="75">
        <f>(5/4)^2*E2530</f>
        <v>57.265625</v>
      </c>
      <c r="D2530" s="74">
        <v>49.48</v>
      </c>
      <c r="E2530" s="74">
        <v>36.65</v>
      </c>
      <c r="F2530" s="76">
        <f>-((D2530-C2530)/D2530)</f>
        <v>0.1573489288601456</v>
      </c>
      <c r="G2530" s="75">
        <f>C2530-D2530</f>
        <v>7.785625000000003</v>
      </c>
      <c r="H2530" s="74">
        <v>560</v>
      </c>
      <c r="I2530" s="74" t="s">
        <v>330</v>
      </c>
    </row>
    <row r="2531" spans="1:9" ht="12.75">
      <c r="A2531" s="5"/>
      <c r="B2531" s="73" t="s">
        <v>316</v>
      </c>
      <c r="C2531" s="75">
        <f>(5/4)^2*E2531</f>
        <v>48.71875</v>
      </c>
      <c r="D2531" s="74">
        <v>42.95</v>
      </c>
      <c r="E2531" s="74">
        <v>31.18</v>
      </c>
      <c r="F2531" s="76">
        <f>-((D2531-C2531)/D2531)</f>
        <v>0.134313154831199</v>
      </c>
      <c r="G2531" s="75">
        <f>C2531-D2531</f>
        <v>5.768749999999997</v>
      </c>
      <c r="H2531" s="74">
        <v>560</v>
      </c>
      <c r="I2531" s="74" t="s">
        <v>330</v>
      </c>
    </row>
    <row r="2532" spans="1:9" ht="12.75">
      <c r="A2532" s="5"/>
      <c r="B2532" s="73" t="s">
        <v>312</v>
      </c>
      <c r="C2532" s="75">
        <f>(5/4)^2*E2532</f>
        <v>42.109375</v>
      </c>
      <c r="D2532" s="74">
        <v>37.3</v>
      </c>
      <c r="E2532" s="74">
        <v>26.95</v>
      </c>
      <c r="F2532" s="76">
        <f>-((D2532-C2532)/D2532)</f>
        <v>0.1289376675603218</v>
      </c>
      <c r="G2532" s="75">
        <f>C2532-D2532</f>
        <v>4.809375000000003</v>
      </c>
      <c r="H2532" s="74">
        <v>560</v>
      </c>
      <c r="I2532" s="74" t="s">
        <v>330</v>
      </c>
    </row>
    <row r="2533" spans="1:9" ht="12.75">
      <c r="A2533" s="5"/>
      <c r="B2533" s="73" t="s">
        <v>300</v>
      </c>
      <c r="C2533" s="75">
        <f>(5/4)^2*E2533</f>
        <v>38.3125</v>
      </c>
      <c r="D2533" s="74">
        <v>34.18</v>
      </c>
      <c r="E2533" s="74">
        <v>24.52</v>
      </c>
      <c r="F2533" s="76">
        <f>-((D2533-C2533)/D2533)</f>
        <v>0.12090403744880047</v>
      </c>
      <c r="G2533" s="75">
        <f>C2533-D2533</f>
        <v>4.1325</v>
      </c>
      <c r="H2533" s="74">
        <v>560</v>
      </c>
      <c r="I2533" s="74" t="s">
        <v>330</v>
      </c>
    </row>
    <row r="2534" spans="1:9" ht="12.75">
      <c r="A2534" s="5"/>
      <c r="B2534" s="73" t="s">
        <v>299</v>
      </c>
      <c r="C2534" s="75">
        <f>(5/4)^2*E2534</f>
        <v>27.84375</v>
      </c>
      <c r="D2534" s="74">
        <v>24.67</v>
      </c>
      <c r="E2534" s="74">
        <v>17.82</v>
      </c>
      <c r="F2534" s="76">
        <f>-((D2534-C2534)/D2534)</f>
        <v>0.1286481556546412</v>
      </c>
      <c r="G2534" s="75">
        <f>C2534-D2534</f>
        <v>3.1737499999999983</v>
      </c>
      <c r="H2534" s="74">
        <v>560</v>
      </c>
      <c r="I2534" s="74" t="s">
        <v>330</v>
      </c>
    </row>
    <row r="2535" spans="1:9" ht="12.75">
      <c r="A2535" s="5"/>
      <c r="B2535" s="73" t="s">
        <v>335</v>
      </c>
      <c r="C2535" s="75">
        <f>(5/4)^2*E2535</f>
        <v>62.265625</v>
      </c>
      <c r="D2535" s="74">
        <v>59.13</v>
      </c>
      <c r="E2535" s="74">
        <v>39.85</v>
      </c>
      <c r="F2535" s="76">
        <f>-((D2535-C2535)/D2535)</f>
        <v>0.053029342127515595</v>
      </c>
      <c r="G2535" s="75">
        <f>C2535-D2535</f>
        <v>3.1356249999999974</v>
      </c>
      <c r="H2535" s="74">
        <v>560</v>
      </c>
      <c r="I2535" s="74" t="s">
        <v>330</v>
      </c>
    </row>
    <row r="2536" spans="1:9" ht="12.75">
      <c r="A2536" s="5"/>
      <c r="B2536" s="73" t="s">
        <v>317</v>
      </c>
      <c r="C2536" s="75">
        <f>(5/4)^2*E2536</f>
        <v>46.28125</v>
      </c>
      <c r="D2536" s="74">
        <v>41.94</v>
      </c>
      <c r="E2536" s="74">
        <v>29.62</v>
      </c>
      <c r="F2536" s="76">
        <f>-((D2536-C2536)/D2536)</f>
        <v>0.10351096804959471</v>
      </c>
      <c r="G2536" s="75">
        <f>C2536-D2536</f>
        <v>4.341250000000002</v>
      </c>
      <c r="H2536" s="74">
        <v>560</v>
      </c>
      <c r="I2536" s="74" t="s">
        <v>330</v>
      </c>
    </row>
    <row r="2537" spans="1:9" ht="12.75">
      <c r="A2537" s="5"/>
      <c r="B2537" s="73" t="s">
        <v>283</v>
      </c>
      <c r="C2537" s="75">
        <f>(5/4)^2*E2537</f>
        <v>43.578125</v>
      </c>
      <c r="D2537" s="74">
        <v>40.19</v>
      </c>
      <c r="E2537" s="74">
        <v>27.89</v>
      </c>
      <c r="F2537" s="76">
        <f>-((D2537-C2537)/D2537)</f>
        <v>0.08430268723563082</v>
      </c>
      <c r="G2537" s="75">
        <f>C2537-D2537</f>
        <v>3.3881250000000023</v>
      </c>
      <c r="H2537" s="74">
        <v>560</v>
      </c>
      <c r="I2537" s="74" t="s">
        <v>330</v>
      </c>
    </row>
    <row r="2538" spans="1:9" ht="12.75">
      <c r="A2538" s="5"/>
      <c r="B2538" s="73" t="s">
        <v>288</v>
      </c>
      <c r="C2538" s="75">
        <f>(5/4)^2*E2538</f>
        <v>33.3125</v>
      </c>
      <c r="D2538" s="74">
        <v>31.12</v>
      </c>
      <c r="E2538" s="74">
        <v>21.32</v>
      </c>
      <c r="F2538" s="76">
        <f>-((D2538-C2538)/D2538)</f>
        <v>0.07045308483290486</v>
      </c>
      <c r="G2538" s="75">
        <f>C2538-D2538</f>
        <v>2.192499999999999</v>
      </c>
      <c r="H2538" s="74">
        <v>560</v>
      </c>
      <c r="I2538" s="74" t="s">
        <v>330</v>
      </c>
    </row>
    <row r="2539" spans="1:9" ht="12.75">
      <c r="A2539" s="5"/>
      <c r="B2539" s="73" t="s">
        <v>318</v>
      </c>
      <c r="C2539" s="75">
        <f>(5/4)^2*E2539</f>
        <v>62.890625</v>
      </c>
      <c r="D2539" s="74">
        <v>55.05</v>
      </c>
      <c r="E2539" s="74">
        <v>40.25</v>
      </c>
      <c r="F2539" s="76">
        <f>-((D2539-C2539)/D2539)</f>
        <v>0.14242733878292468</v>
      </c>
      <c r="G2539" s="75">
        <f>C2539-D2539</f>
        <v>7.840625000000003</v>
      </c>
      <c r="H2539" s="74">
        <v>560</v>
      </c>
      <c r="I2539" s="74" t="s">
        <v>330</v>
      </c>
    </row>
    <row r="2540" spans="1:9" ht="12.75">
      <c r="A2540" s="5"/>
      <c r="B2540" s="73" t="s">
        <v>319</v>
      </c>
      <c r="C2540" s="75">
        <f>(5/4)^2*E2540</f>
        <v>44.125</v>
      </c>
      <c r="D2540" s="74">
        <v>40.38</v>
      </c>
      <c r="E2540" s="74">
        <v>28.24</v>
      </c>
      <c r="F2540" s="76">
        <f>-((D2540-C2540)/D2540)</f>
        <v>0.09274393263992069</v>
      </c>
      <c r="G2540" s="75">
        <f>C2540-D2540</f>
        <v>3.7449999999999974</v>
      </c>
      <c r="H2540" s="74">
        <v>560</v>
      </c>
      <c r="I2540" s="74" t="s">
        <v>330</v>
      </c>
    </row>
    <row r="2541" spans="1:9" ht="12.75">
      <c r="A2541" s="5"/>
      <c r="B2541" s="73" t="s">
        <v>320</v>
      </c>
      <c r="C2541" s="75">
        <f>(5/4)^2*E2541</f>
        <v>43.734375</v>
      </c>
      <c r="D2541" s="74">
        <v>39.45</v>
      </c>
      <c r="E2541" s="74">
        <v>27.99</v>
      </c>
      <c r="F2541" s="76">
        <f>-((D2541-C2541)/D2541)</f>
        <v>0.1086026615969581</v>
      </c>
      <c r="G2541" s="75">
        <f>C2541-D2541</f>
        <v>4.284374999999997</v>
      </c>
      <c r="H2541" s="74">
        <v>560</v>
      </c>
      <c r="I2541" s="74" t="s">
        <v>330</v>
      </c>
    </row>
    <row r="2542" spans="1:9" ht="12.75">
      <c r="A2542" s="5"/>
      <c r="B2542" s="73" t="s">
        <v>284</v>
      </c>
      <c r="C2542" s="75">
        <f>(5/4)^2*E2542</f>
        <v>41</v>
      </c>
      <c r="D2542" s="74">
        <v>38.01</v>
      </c>
      <c r="E2542" s="74">
        <v>26.24</v>
      </c>
      <c r="F2542" s="76">
        <f>-((D2542-C2542)/D2542)</f>
        <v>0.07866350960273617</v>
      </c>
      <c r="G2542" s="75">
        <f>C2542-D2542</f>
        <v>2.990000000000002</v>
      </c>
      <c r="H2542" s="74">
        <v>560</v>
      </c>
      <c r="I2542" s="74" t="s">
        <v>330</v>
      </c>
    </row>
    <row r="2543" spans="1:9" ht="12.75">
      <c r="A2543" s="5"/>
      <c r="B2543" s="73" t="s">
        <v>285</v>
      </c>
      <c r="C2543" s="75">
        <f>(5/4)^2*E2543</f>
        <v>48.28125</v>
      </c>
      <c r="D2543" s="74">
        <v>44.4</v>
      </c>
      <c r="E2543" s="74">
        <v>30.9</v>
      </c>
      <c r="F2543" s="76">
        <f>-((D2543-C2543)/D2543)</f>
        <v>0.08741554054054057</v>
      </c>
      <c r="G2543" s="75">
        <f>C2543-D2543</f>
        <v>3.8812500000000014</v>
      </c>
      <c r="H2543" s="74">
        <v>560</v>
      </c>
      <c r="I2543" s="74" t="s">
        <v>330</v>
      </c>
    </row>
    <row r="2544" spans="1:9" ht="12.75">
      <c r="A2544" s="5"/>
      <c r="B2544" s="73" t="s">
        <v>286</v>
      </c>
      <c r="C2544" s="75">
        <f>(5/4)^2*E2544</f>
        <v>36.59375</v>
      </c>
      <c r="D2544" s="74">
        <v>33.86</v>
      </c>
      <c r="E2544" s="74">
        <v>23.42</v>
      </c>
      <c r="F2544" s="76">
        <f>-((D2544-C2544)/D2544)</f>
        <v>0.08073685764914355</v>
      </c>
      <c r="G2544" s="75">
        <f>C2544-D2544</f>
        <v>2.7337500000000006</v>
      </c>
      <c r="H2544" s="74">
        <v>560</v>
      </c>
      <c r="I2544" s="74" t="s">
        <v>330</v>
      </c>
    </row>
    <row r="2545" spans="1:9" ht="12.75">
      <c r="A2545" s="5"/>
      <c r="B2545" s="73" t="s">
        <v>289</v>
      </c>
      <c r="C2545" s="75">
        <f>(5/4)^2*E2545</f>
        <v>33.578125</v>
      </c>
      <c r="D2545" s="74">
        <v>31.48</v>
      </c>
      <c r="E2545" s="74">
        <v>21.49</v>
      </c>
      <c r="F2545" s="76">
        <f>-((D2545-C2545)/D2545)</f>
        <v>0.06664945997458703</v>
      </c>
      <c r="G2545" s="75">
        <f>C2545-D2545</f>
        <v>2.0981249999999996</v>
      </c>
      <c r="H2545" s="74">
        <v>560</v>
      </c>
      <c r="I2545" s="74" t="s">
        <v>330</v>
      </c>
    </row>
    <row r="2546" spans="1:9" ht="12.75">
      <c r="A2546" s="5"/>
      <c r="B2546" s="73" t="s">
        <v>308</v>
      </c>
      <c r="C2546" s="75">
        <f>(5/4)^2*E2546</f>
        <v>42.34375</v>
      </c>
      <c r="D2546" s="74">
        <v>37.68</v>
      </c>
      <c r="E2546" s="74">
        <v>27.1</v>
      </c>
      <c r="F2546" s="76">
        <f>-((D2546-C2546)/D2546)</f>
        <v>0.1237725583864119</v>
      </c>
      <c r="G2546" s="75">
        <f>C2546-D2546</f>
        <v>4.66375</v>
      </c>
      <c r="H2546" s="74">
        <v>560</v>
      </c>
      <c r="I2546" s="74" t="s">
        <v>330</v>
      </c>
    </row>
    <row r="2547" spans="1:9" ht="12.75">
      <c r="A2547" s="5"/>
      <c r="B2547" s="73" t="s">
        <v>287</v>
      </c>
      <c r="C2547" s="75">
        <f>(5/4)^2*E2547</f>
        <v>35.921875</v>
      </c>
      <c r="D2547" s="74">
        <v>34.23</v>
      </c>
      <c r="E2547" s="74">
        <v>22.99</v>
      </c>
      <c r="F2547" s="76">
        <f>-((D2547-C2547)/D2547)</f>
        <v>0.049426672509494694</v>
      </c>
      <c r="G2547" s="75">
        <f>C2547-D2547</f>
        <v>1.6918750000000031</v>
      </c>
      <c r="H2547" s="74">
        <v>560</v>
      </c>
      <c r="I2547" s="74" t="s">
        <v>330</v>
      </c>
    </row>
    <row r="2548" spans="1:9" ht="12.75">
      <c r="A2548" s="5"/>
      <c r="B2548" s="73"/>
      <c r="C2548" s="75"/>
      <c r="D2548" s="74"/>
      <c r="E2548" s="74" t="s">
        <v>14</v>
      </c>
      <c r="F2548" s="76">
        <f>AVERAGE(F2530:F2547)</f>
        <v>0.10066036434908175</v>
      </c>
      <c r="G2548" s="75">
        <f>AVERAGE(G2530:G2547)</f>
        <v>4.036458333333333</v>
      </c>
      <c r="H2548" s="74"/>
      <c r="I2548" s="74"/>
    </row>
    <row r="2549" spans="1:9" ht="12.75">
      <c r="A2549" s="5"/>
      <c r="B2549" s="73"/>
      <c r="C2549" s="75"/>
      <c r="D2549" s="74"/>
      <c r="E2549" s="74"/>
      <c r="F2549" s="76"/>
      <c r="G2549" s="75"/>
      <c r="H2549" s="74"/>
      <c r="I2549" s="74"/>
    </row>
    <row r="2550" spans="1:9" ht="12.75">
      <c r="A2550" s="79" t="s">
        <v>0</v>
      </c>
      <c r="B2550" s="79" t="s">
        <v>1</v>
      </c>
      <c r="C2550" s="80" t="s">
        <v>336</v>
      </c>
      <c r="D2550" s="80" t="s">
        <v>218</v>
      </c>
      <c r="E2550" s="80" t="s">
        <v>73</v>
      </c>
      <c r="F2550" s="80" t="s">
        <v>5</v>
      </c>
      <c r="G2550" s="80" t="s">
        <v>6</v>
      </c>
      <c r="H2550" s="80" t="s">
        <v>7</v>
      </c>
      <c r="I2550" s="80" t="s">
        <v>8</v>
      </c>
    </row>
    <row r="2551" spans="1:9" ht="12.75">
      <c r="A2551" s="79" t="s">
        <v>333</v>
      </c>
      <c r="B2551" s="79" t="s">
        <v>312</v>
      </c>
      <c r="C2551" s="81">
        <f>(6/5)^1.64*E2551</f>
        <v>50.29977881560025</v>
      </c>
      <c r="D2551" s="80">
        <v>48.83</v>
      </c>
      <c r="E2551" s="80">
        <v>37.3</v>
      </c>
      <c r="F2551" s="82">
        <f>-((D2551-C2551)/D2551)</f>
        <v>0.030099914306783746</v>
      </c>
      <c r="G2551" s="81">
        <f>C2551-D2551</f>
        <v>1.4697788156002503</v>
      </c>
      <c r="H2551" s="80">
        <v>560</v>
      </c>
      <c r="I2551" s="80" t="s">
        <v>330</v>
      </c>
    </row>
    <row r="2552" spans="2:9" ht="12.75">
      <c r="B2552" s="79" t="s">
        <v>300</v>
      </c>
      <c r="C2552" s="81">
        <f>(6/5)^1.64*E2552</f>
        <v>46.09239785300849</v>
      </c>
      <c r="D2552" s="80">
        <v>44.5</v>
      </c>
      <c r="E2552" s="80">
        <v>34.18</v>
      </c>
      <c r="F2552" s="82">
        <f>-((D2552-C2552)/D2552)</f>
        <v>0.03578422141592118</v>
      </c>
      <c r="G2552" s="81">
        <f>C2552-D2552</f>
        <v>1.5923978530084923</v>
      </c>
      <c r="H2552" s="80">
        <v>560</v>
      </c>
      <c r="I2552" s="80" t="s">
        <v>330</v>
      </c>
    </row>
    <row r="2553" spans="2:9" ht="12.75">
      <c r="B2553" s="79" t="s">
        <v>299</v>
      </c>
      <c r="C2553" s="81">
        <f>(6/5)^1.64*E2553</f>
        <v>33.53768094219781</v>
      </c>
      <c r="D2553" s="80">
        <v>32.66</v>
      </c>
      <c r="E2553" s="80">
        <v>24.87</v>
      </c>
      <c r="F2553" s="82">
        <f>-((D2553-C2553)/D2553)</f>
        <v>0.026873268285297396</v>
      </c>
      <c r="G2553" s="81">
        <f>C2553-D2553</f>
        <v>0.8776809421978129</v>
      </c>
      <c r="H2553" s="80">
        <v>560</v>
      </c>
      <c r="I2553" s="80" t="s">
        <v>330</v>
      </c>
    </row>
    <row r="2554" spans="2:9" ht="12.75">
      <c r="B2554" s="79" t="s">
        <v>301</v>
      </c>
      <c r="C2554" s="81">
        <f>(6/5)^1.64*E2554</f>
        <v>32.404924529192336</v>
      </c>
      <c r="D2554" s="80">
        <v>31.64</v>
      </c>
      <c r="E2554" s="80">
        <v>24.03</v>
      </c>
      <c r="F2554" s="82">
        <f>-((D2554-C2554)/D2554)</f>
        <v>0.024175870075611092</v>
      </c>
      <c r="G2554" s="81">
        <f>C2554-D2554</f>
        <v>0.764924529192335</v>
      </c>
      <c r="H2554" s="80">
        <v>560</v>
      </c>
      <c r="I2554" s="80" t="s">
        <v>330</v>
      </c>
    </row>
    <row r="2555" spans="2:9" ht="12.75">
      <c r="B2555" s="79" t="s">
        <v>91</v>
      </c>
      <c r="C2555" s="81">
        <f>(6/5)^1.64*E2555</f>
        <v>29.626974278250337</v>
      </c>
      <c r="D2555" s="80">
        <v>29.09</v>
      </c>
      <c r="E2555" s="80">
        <v>21.97</v>
      </c>
      <c r="F2555" s="82">
        <f>-((D2555-C2555)/D2555)</f>
        <v>0.018459067660719742</v>
      </c>
      <c r="G2555" s="81">
        <f>C2555-D2555</f>
        <v>0.5369742782503373</v>
      </c>
      <c r="H2555" s="80">
        <v>560</v>
      </c>
      <c r="I2555" s="80" t="s">
        <v>330</v>
      </c>
    </row>
    <row r="2556" spans="2:9" ht="12.75">
      <c r="B2556" s="79" t="s">
        <v>288</v>
      </c>
      <c r="C2556" s="81">
        <f>(6/5)^1.64*E2556</f>
        <v>41.96592806277426</v>
      </c>
      <c r="D2556" s="80">
        <v>42.73</v>
      </c>
      <c r="E2556" s="80">
        <v>31.12</v>
      </c>
      <c r="F2556" s="82">
        <f>-((D2556-C2556)/D2556)</f>
        <v>-0.017881393335495824</v>
      </c>
      <c r="G2556" s="81">
        <f>C2556-D2556</f>
        <v>-0.7640719372257365</v>
      </c>
      <c r="H2556" s="80">
        <v>560</v>
      </c>
      <c r="I2556" s="80" t="s">
        <v>330</v>
      </c>
    </row>
    <row r="2557" spans="2:9" ht="12.75">
      <c r="B2557" s="79" t="s">
        <v>284</v>
      </c>
      <c r="C2557" s="81">
        <f>(6/5)^1.64*E2557</f>
        <v>51.257227688497736</v>
      </c>
      <c r="D2557" s="80">
        <v>53.2</v>
      </c>
      <c r="E2557" s="80">
        <v>38.01</v>
      </c>
      <c r="F2557" s="82">
        <f>-((D2557-C2557)/D2557)</f>
        <v>-0.036518276531997504</v>
      </c>
      <c r="G2557" s="81">
        <f>C2557-D2557</f>
        <v>-1.9427723115022673</v>
      </c>
      <c r="H2557" s="80">
        <v>560</v>
      </c>
      <c r="I2557" s="80" t="s">
        <v>330</v>
      </c>
    </row>
    <row r="2558" spans="2:9" ht="12.75">
      <c r="B2558" s="79" t="s">
        <v>286</v>
      </c>
      <c r="C2558" s="81">
        <f>(6/5)^1.64*E2558</f>
        <v>45.66087160043497</v>
      </c>
      <c r="D2558" s="80">
        <v>46.34</v>
      </c>
      <c r="E2558" s="80">
        <v>33.86</v>
      </c>
      <c r="F2558" s="82">
        <f>-((D2558-C2558)/D2558)</f>
        <v>-0.014655338790786152</v>
      </c>
      <c r="G2558" s="81">
        <f>C2558-D2558</f>
        <v>-0.6791283995650303</v>
      </c>
      <c r="H2558" s="80">
        <v>560</v>
      </c>
      <c r="I2558" s="80" t="s">
        <v>330</v>
      </c>
    </row>
    <row r="2559" spans="2:9" ht="12.75">
      <c r="B2559" s="79" t="s">
        <v>289</v>
      </c>
      <c r="C2559" s="81">
        <f>(6/5)^1.64*E2559</f>
        <v>42.45139509691946</v>
      </c>
      <c r="D2559" s="80">
        <v>42.92</v>
      </c>
      <c r="E2559" s="80">
        <v>31.48</v>
      </c>
      <c r="F2559" s="82">
        <f>-((D2559-C2559)/D2559)</f>
        <v>-0.010918101190133719</v>
      </c>
      <c r="G2559" s="81">
        <f>C2559-D2559</f>
        <v>-0.46860490308053926</v>
      </c>
      <c r="H2559" s="80">
        <v>560</v>
      </c>
      <c r="I2559" s="80" t="s">
        <v>330</v>
      </c>
    </row>
    <row r="2560" spans="2:9" ht="12.75">
      <c r="B2560" s="79" t="s">
        <v>287</v>
      </c>
      <c r="C2560" s="81">
        <f>(6/5)^1.64*E2560</f>
        <v>46.1598238299731</v>
      </c>
      <c r="D2560" s="80">
        <v>46.38</v>
      </c>
      <c r="E2560" s="80">
        <v>34.23</v>
      </c>
      <c r="F2560" s="82">
        <f>-((D2560-C2560)/D2560)</f>
        <v>-0.00474722229467234</v>
      </c>
      <c r="G2560" s="81">
        <f>C2560-D2560</f>
        <v>-0.22017617002690315</v>
      </c>
      <c r="H2560" s="80">
        <v>560</v>
      </c>
      <c r="I2560" s="80" t="s">
        <v>330</v>
      </c>
    </row>
    <row r="2561" spans="2:9" ht="12.75">
      <c r="B2561" s="79" t="s">
        <v>242</v>
      </c>
      <c r="C2561" s="81">
        <f>(6/5)^1.64*E2561</f>
        <v>37.83945827254003</v>
      </c>
      <c r="D2561" s="80">
        <v>37.95</v>
      </c>
      <c r="E2561" s="80">
        <v>28.06</v>
      </c>
      <c r="F2561" s="82">
        <f>-((D2561-C2561)/D2561)</f>
        <v>-0.0029128254930164553</v>
      </c>
      <c r="G2561" s="81">
        <f>C2561-D2561</f>
        <v>-0.11054172745997448</v>
      </c>
      <c r="H2561" s="80">
        <v>560</v>
      </c>
      <c r="I2561" s="80" t="s">
        <v>330</v>
      </c>
    </row>
    <row r="2562" spans="2:9" ht="12.75">
      <c r="B2562" s="79" t="s">
        <v>148</v>
      </c>
      <c r="C2562" s="81">
        <f>(6/5)^1.64*E2562</f>
        <v>30.948523426756722</v>
      </c>
      <c r="D2562" s="80">
        <v>31.78</v>
      </c>
      <c r="E2562" s="80">
        <v>22.95</v>
      </c>
      <c r="F2562" s="82">
        <f>-((D2562-C2562)/D2562)</f>
        <v>-0.02616351709387284</v>
      </c>
      <c r="G2562" s="81">
        <f>C2562-D2562</f>
        <v>-0.831476573243279</v>
      </c>
      <c r="H2562" s="80">
        <v>560</v>
      </c>
      <c r="I2562" s="80" t="s">
        <v>330</v>
      </c>
    </row>
    <row r="2563" spans="2:9" ht="12.75">
      <c r="B2563" s="79" t="s">
        <v>243</v>
      </c>
      <c r="C2563" s="81">
        <f>(6/5)^1.64*E2563</f>
        <v>38.05522139882679</v>
      </c>
      <c r="D2563" s="80">
        <v>37.9</v>
      </c>
      <c r="E2563" s="80">
        <v>28.22</v>
      </c>
      <c r="F2563" s="82">
        <f>-((D2563-C2563)/D2563)</f>
        <v>0.004095551420231911</v>
      </c>
      <c r="G2563" s="81">
        <f>C2563-D2563</f>
        <v>0.15522139882678943</v>
      </c>
      <c r="H2563" s="80">
        <v>560</v>
      </c>
      <c r="I2563" s="80" t="s">
        <v>330</v>
      </c>
    </row>
    <row r="2564" spans="2:9" ht="12.75">
      <c r="B2564" s="79" t="s">
        <v>244</v>
      </c>
      <c r="C2564" s="81">
        <f>(6/5)^1.64*E2564</f>
        <v>32.41840972458525</v>
      </c>
      <c r="D2564" s="80">
        <v>33.29</v>
      </c>
      <c r="E2564" s="80">
        <v>24.04</v>
      </c>
      <c r="F2564" s="82">
        <f>-((D2564-C2564)/D2564)</f>
        <v>-0.026181744530331823</v>
      </c>
      <c r="G2564" s="81">
        <f>C2564-D2564</f>
        <v>-0.8715902754147464</v>
      </c>
      <c r="H2564" s="80">
        <v>560</v>
      </c>
      <c r="I2564" s="80" t="s">
        <v>330</v>
      </c>
    </row>
    <row r="2565" spans="2:9" ht="12.75">
      <c r="B2565" s="79" t="s">
        <v>122</v>
      </c>
      <c r="C2565" s="81">
        <f>(6/5)^1.64*E2565</f>
        <v>29.883192990715862</v>
      </c>
      <c r="D2565" s="80">
        <v>30.79</v>
      </c>
      <c r="E2565" s="80">
        <v>22.16</v>
      </c>
      <c r="F2565" s="82">
        <f>-((D2565-C2565)/D2565)</f>
        <v>-0.02945134814173877</v>
      </c>
      <c r="G2565" s="81">
        <f>C2565-D2565</f>
        <v>-0.9068070092841367</v>
      </c>
      <c r="H2565" s="80">
        <v>560</v>
      </c>
      <c r="I2565" s="80" t="s">
        <v>330</v>
      </c>
    </row>
    <row r="2566" spans="2:9" ht="12.75">
      <c r="B2566" s="79" t="s">
        <v>101</v>
      </c>
      <c r="C2566" s="81">
        <f>(6/5)^1.64*E2566</f>
        <v>32.4453801153711</v>
      </c>
      <c r="D2566" s="80">
        <v>31.47</v>
      </c>
      <c r="E2566" s="80">
        <v>24.06</v>
      </c>
      <c r="F2566" s="82">
        <f>-((D2566-C2566)/D2566)</f>
        <v>0.030993966170038207</v>
      </c>
      <c r="G2566" s="81">
        <f>C2566-D2566</f>
        <v>0.9753801153711024</v>
      </c>
      <c r="H2566" s="80">
        <v>560</v>
      </c>
      <c r="I2566" s="80" t="s">
        <v>330</v>
      </c>
    </row>
    <row r="2567" spans="2:9" ht="12.75">
      <c r="B2567" s="79"/>
      <c r="C2567" s="81"/>
      <c r="D2567" s="80"/>
      <c r="E2567" s="80" t="s">
        <v>14</v>
      </c>
      <c r="F2567" s="82">
        <f>AVERAGE(F2551:F2566)</f>
        <v>6.575574578486466E-05</v>
      </c>
      <c r="G2567" s="81">
        <f>AVERAGE(G2551:G2566)</f>
        <v>-0.026425710897218346</v>
      </c>
      <c r="H2567" s="80"/>
      <c r="I2567" s="74"/>
    </row>
    <row r="2568" spans="2:9" ht="12.75">
      <c r="B2568" s="69"/>
      <c r="C2568" s="71"/>
      <c r="D2568" s="70"/>
      <c r="E2568" s="70"/>
      <c r="F2568" s="72"/>
      <c r="G2568" s="71"/>
      <c r="H2568" s="70"/>
      <c r="I2568" s="74"/>
    </row>
    <row r="2569" spans="1:9" ht="12.75">
      <c r="A2569" s="83" t="s">
        <v>0</v>
      </c>
      <c r="B2569" s="83" t="s">
        <v>1</v>
      </c>
      <c r="C2569" s="84" t="s">
        <v>247</v>
      </c>
      <c r="D2569" s="84" t="s">
        <v>218</v>
      </c>
      <c r="E2569" s="84" t="s">
        <v>73</v>
      </c>
      <c r="F2569" s="84" t="s">
        <v>5</v>
      </c>
      <c r="G2569" s="84" t="s">
        <v>6</v>
      </c>
      <c r="H2569" s="84" t="s">
        <v>7</v>
      </c>
      <c r="I2569" s="84" t="s">
        <v>8</v>
      </c>
    </row>
    <row r="2570" spans="1:9" ht="12.75">
      <c r="A2570" s="83" t="s">
        <v>333</v>
      </c>
      <c r="B2570" s="83" t="s">
        <v>312</v>
      </c>
      <c r="C2570" s="85">
        <f>(6/5)^2*E2570</f>
        <v>53.711999999999996</v>
      </c>
      <c r="D2570" s="84">
        <v>48.83</v>
      </c>
      <c r="E2570" s="84">
        <v>37.3</v>
      </c>
      <c r="F2570" s="86">
        <f>-((D2570-C2570)/D2570)</f>
        <v>0.09997952078640177</v>
      </c>
      <c r="G2570" s="85">
        <f>C2570-D2570</f>
        <v>4.881999999999998</v>
      </c>
      <c r="H2570" s="84">
        <v>560</v>
      </c>
      <c r="I2570" s="84" t="s">
        <v>330</v>
      </c>
    </row>
    <row r="2571" spans="1:9" ht="12.75">
      <c r="A2571" s="5"/>
      <c r="B2571" s="83" t="s">
        <v>300</v>
      </c>
      <c r="C2571" s="85">
        <f>(6/5)^2*E2571</f>
        <v>49.2192</v>
      </c>
      <c r="D2571" s="84">
        <v>44.5</v>
      </c>
      <c r="E2571" s="84">
        <v>34.18</v>
      </c>
      <c r="F2571" s="86">
        <f>-((D2571-C2571)/D2571)</f>
        <v>0.1060494382022472</v>
      </c>
      <c r="G2571" s="85">
        <f>C2571-D2571</f>
        <v>4.719200000000001</v>
      </c>
      <c r="H2571" s="84">
        <v>560</v>
      </c>
      <c r="I2571" s="84" t="s">
        <v>330</v>
      </c>
    </row>
    <row r="2572" spans="1:9" ht="12.75">
      <c r="A2572" s="5"/>
      <c r="B2572" s="83" t="s">
        <v>299</v>
      </c>
      <c r="C2572" s="85">
        <f>(6/5)^2*E2572</f>
        <v>35.8128</v>
      </c>
      <c r="D2572" s="84">
        <v>32.66</v>
      </c>
      <c r="E2572" s="84">
        <v>24.87</v>
      </c>
      <c r="F2572" s="86">
        <f>-((D2572-C2572)/D2572)</f>
        <v>0.09653398652786303</v>
      </c>
      <c r="G2572" s="85">
        <f>C2572-D2572</f>
        <v>3.1528000000000063</v>
      </c>
      <c r="H2572" s="84">
        <v>560</v>
      </c>
      <c r="I2572" s="84" t="s">
        <v>330</v>
      </c>
    </row>
    <row r="2573" spans="1:9" ht="12.75">
      <c r="A2573" s="5"/>
      <c r="B2573" s="83" t="s">
        <v>301</v>
      </c>
      <c r="C2573" s="85">
        <f>(6/5)^2*E2573</f>
        <v>34.6032</v>
      </c>
      <c r="D2573" s="84">
        <v>31.64</v>
      </c>
      <c r="E2573" s="84">
        <v>24.03</v>
      </c>
      <c r="F2573" s="86">
        <f>-((D2573-C2573)/D2573)</f>
        <v>0.09365360303413402</v>
      </c>
      <c r="G2573" s="85">
        <f>C2573-D2573</f>
        <v>2.9632000000000005</v>
      </c>
      <c r="H2573" s="84">
        <v>560</v>
      </c>
      <c r="I2573" s="84" t="s">
        <v>330</v>
      </c>
    </row>
    <row r="2574" spans="1:9" ht="12.75">
      <c r="A2574" s="5"/>
      <c r="B2574" s="83" t="s">
        <v>91</v>
      </c>
      <c r="C2574" s="85">
        <f>(6/5)^2*E2574</f>
        <v>31.636799999999997</v>
      </c>
      <c r="D2574" s="84">
        <v>29.09</v>
      </c>
      <c r="E2574" s="84">
        <v>21.97</v>
      </c>
      <c r="F2574" s="86">
        <f>-((D2574-C2574)/D2574)</f>
        <v>0.08754898590580946</v>
      </c>
      <c r="G2574" s="85">
        <f>C2574-D2574</f>
        <v>2.5467999999999975</v>
      </c>
      <c r="H2574" s="84">
        <v>560</v>
      </c>
      <c r="I2574" s="84" t="s">
        <v>330</v>
      </c>
    </row>
    <row r="2575" spans="1:9" ht="12.75">
      <c r="A2575" s="5"/>
      <c r="B2575" s="83" t="s">
        <v>288</v>
      </c>
      <c r="C2575" s="85">
        <f>(6/5)^2*E2575</f>
        <v>44.8128</v>
      </c>
      <c r="D2575" s="84">
        <v>42.73</v>
      </c>
      <c r="E2575" s="84">
        <v>31.12</v>
      </c>
      <c r="F2575" s="86">
        <f>-((D2575-C2575)/D2575)</f>
        <v>0.04874327170606146</v>
      </c>
      <c r="G2575" s="85">
        <f>C2575-D2575</f>
        <v>2.082800000000006</v>
      </c>
      <c r="H2575" s="84">
        <v>560</v>
      </c>
      <c r="I2575" s="84" t="s">
        <v>330</v>
      </c>
    </row>
    <row r="2576" spans="1:9" ht="12.75">
      <c r="A2576" s="5"/>
      <c r="B2576" s="83" t="s">
        <v>284</v>
      </c>
      <c r="C2576" s="85">
        <f>(6/5)^2*E2576</f>
        <v>54.734399999999994</v>
      </c>
      <c r="D2576" s="84">
        <v>53.2</v>
      </c>
      <c r="E2576" s="84">
        <v>38.01</v>
      </c>
      <c r="F2576" s="86">
        <f>-((D2576-C2576)/D2576)</f>
        <v>0.02884210526315772</v>
      </c>
      <c r="G2576" s="85">
        <f>C2576-D2576</f>
        <v>1.5343999999999909</v>
      </c>
      <c r="H2576" s="84">
        <v>560</v>
      </c>
      <c r="I2576" s="84" t="s">
        <v>330</v>
      </c>
    </row>
    <row r="2577" spans="1:9" ht="12.75">
      <c r="A2577" s="5"/>
      <c r="B2577" s="83" t="s">
        <v>286</v>
      </c>
      <c r="C2577" s="85">
        <f>(6/5)^2*E2577</f>
        <v>48.758399999999995</v>
      </c>
      <c r="D2577" s="84">
        <v>46.34</v>
      </c>
      <c r="E2577" s="84">
        <v>33.86</v>
      </c>
      <c r="F2577" s="86">
        <f>-((D2577-C2577)/D2577)</f>
        <v>0.05218817436340076</v>
      </c>
      <c r="G2577" s="85">
        <f>C2577-D2577</f>
        <v>2.4183999999999912</v>
      </c>
      <c r="H2577" s="84">
        <v>560</v>
      </c>
      <c r="I2577" s="84" t="s">
        <v>330</v>
      </c>
    </row>
    <row r="2578" spans="1:9" ht="12.75">
      <c r="A2578" s="5"/>
      <c r="B2578" s="83" t="s">
        <v>289</v>
      </c>
      <c r="C2578" s="85">
        <f>(6/5)^2*E2578</f>
        <v>45.331199999999995</v>
      </c>
      <c r="D2578" s="84">
        <v>42.92</v>
      </c>
      <c r="E2578" s="84">
        <v>31.48</v>
      </c>
      <c r="F2578" s="86">
        <f>-((D2578-C2578)/D2578)</f>
        <v>0.05617893755824776</v>
      </c>
      <c r="G2578" s="85">
        <f>C2578-D2578</f>
        <v>2.411199999999994</v>
      </c>
      <c r="H2578" s="84">
        <v>560</v>
      </c>
      <c r="I2578" s="84" t="s">
        <v>330</v>
      </c>
    </row>
    <row r="2579" spans="1:9" ht="12.75">
      <c r="A2579" s="5"/>
      <c r="B2579" s="83" t="s">
        <v>287</v>
      </c>
      <c r="C2579" s="85">
        <f>(6/5)^2*E2579</f>
        <v>49.291199999999996</v>
      </c>
      <c r="D2579" s="84">
        <v>46.38</v>
      </c>
      <c r="E2579" s="84">
        <v>34.23</v>
      </c>
      <c r="F2579" s="86">
        <f>-((D2579-C2579)/D2579)</f>
        <v>0.0627684346701163</v>
      </c>
      <c r="G2579" s="85">
        <f>C2579-D2579</f>
        <v>2.911199999999994</v>
      </c>
      <c r="H2579" s="84">
        <v>560</v>
      </c>
      <c r="I2579" s="84" t="s">
        <v>330</v>
      </c>
    </row>
    <row r="2580" spans="1:9" ht="12.75">
      <c r="A2580" s="5"/>
      <c r="B2580" s="83" t="s">
        <v>242</v>
      </c>
      <c r="C2580" s="85">
        <f>(6/5)^2*E2580</f>
        <v>40.4064</v>
      </c>
      <c r="D2580" s="84">
        <v>37.95</v>
      </c>
      <c r="E2580" s="84">
        <v>28.06</v>
      </c>
      <c r="F2580" s="86">
        <f>-((D2580-C2580)/D2580)</f>
        <v>0.06472727272727259</v>
      </c>
      <c r="G2580" s="85">
        <f>C2580-D2580</f>
        <v>2.456399999999995</v>
      </c>
      <c r="H2580" s="84">
        <v>560</v>
      </c>
      <c r="I2580" s="84" t="s">
        <v>330</v>
      </c>
    </row>
    <row r="2581" spans="1:9" ht="12.75">
      <c r="A2581" s="5"/>
      <c r="B2581" s="83" t="s">
        <v>148</v>
      </c>
      <c r="C2581" s="85">
        <f>(6/5)^2*E2581</f>
        <v>33.047999999999995</v>
      </c>
      <c r="D2581" s="84">
        <v>31.78</v>
      </c>
      <c r="E2581" s="84">
        <v>22.95</v>
      </c>
      <c r="F2581" s="86">
        <f>-((D2581-C2581)/D2581)</f>
        <v>0.039899307740717226</v>
      </c>
      <c r="G2581" s="85">
        <f>C2581-D2581</f>
        <v>1.2679999999999936</v>
      </c>
      <c r="H2581" s="84">
        <v>560</v>
      </c>
      <c r="I2581" s="84" t="s">
        <v>330</v>
      </c>
    </row>
    <row r="2582" spans="1:9" ht="12.75">
      <c r="A2582" s="5"/>
      <c r="B2582" s="83" t="s">
        <v>243</v>
      </c>
      <c r="C2582" s="85">
        <f>(6/5)^2*E2582</f>
        <v>40.636799999999994</v>
      </c>
      <c r="D2582" s="84">
        <v>37.9</v>
      </c>
      <c r="E2582" s="84">
        <v>28.22</v>
      </c>
      <c r="F2582" s="86">
        <f>-((D2582-C2582)/D2582)</f>
        <v>0.07221108179419512</v>
      </c>
      <c r="G2582" s="85">
        <f>C2582-D2582</f>
        <v>2.7367999999999952</v>
      </c>
      <c r="H2582" s="84">
        <v>560</v>
      </c>
      <c r="I2582" s="84" t="s">
        <v>330</v>
      </c>
    </row>
    <row r="2583" spans="1:9" ht="12.75">
      <c r="A2583" s="5"/>
      <c r="B2583" s="83" t="s">
        <v>244</v>
      </c>
      <c r="C2583" s="85">
        <f>(6/5)^2*E2583</f>
        <v>34.617599999999996</v>
      </c>
      <c r="D2583" s="84">
        <v>33.29</v>
      </c>
      <c r="E2583" s="84">
        <v>24.04</v>
      </c>
      <c r="F2583" s="86">
        <f>-((D2583-C2583)/D2583)</f>
        <v>0.03987984379693592</v>
      </c>
      <c r="G2583" s="85">
        <f>C2583-D2583</f>
        <v>1.3275999999999968</v>
      </c>
      <c r="H2583" s="84">
        <v>560</v>
      </c>
      <c r="I2583" s="84" t="s">
        <v>330</v>
      </c>
    </row>
    <row r="2584" spans="1:9" ht="12.75">
      <c r="A2584" s="5"/>
      <c r="B2584" s="83" t="s">
        <v>122</v>
      </c>
      <c r="C2584" s="85">
        <f>(6/5)^2*E2584</f>
        <v>31.9104</v>
      </c>
      <c r="D2584" s="84">
        <v>30.79</v>
      </c>
      <c r="E2584" s="84">
        <v>22.16</v>
      </c>
      <c r="F2584" s="86">
        <f>-((D2584-C2584)/D2584)</f>
        <v>0.03638843780448198</v>
      </c>
      <c r="G2584" s="85">
        <f>C2584-D2584</f>
        <v>1.1204</v>
      </c>
      <c r="H2584" s="84">
        <v>560</v>
      </c>
      <c r="I2584" s="84" t="s">
        <v>330</v>
      </c>
    </row>
    <row r="2585" spans="1:9" ht="12.75">
      <c r="A2585" s="5"/>
      <c r="B2585" s="83" t="s">
        <v>101</v>
      </c>
      <c r="C2585" s="85">
        <f>(6/5)^2*E2585</f>
        <v>34.6464</v>
      </c>
      <c r="D2585" s="84">
        <v>31.47</v>
      </c>
      <c r="E2585" s="84">
        <v>24.06</v>
      </c>
      <c r="F2585" s="86">
        <f>-((D2585-C2585)/D2585)</f>
        <v>0.10093422306959011</v>
      </c>
      <c r="G2585" s="85">
        <f>C2585-D2585</f>
        <v>3.176400000000001</v>
      </c>
      <c r="H2585" s="84">
        <v>560</v>
      </c>
      <c r="I2585" s="84" t="s">
        <v>330</v>
      </c>
    </row>
    <row r="2586" spans="1:9" ht="12.75">
      <c r="A2586" s="5"/>
      <c r="B2586" s="83"/>
      <c r="C2586" s="85"/>
      <c r="D2586" s="84"/>
      <c r="E2586" s="84" t="s">
        <v>14</v>
      </c>
      <c r="F2586" s="86">
        <f>AVERAGE(F2570:F2585)</f>
        <v>0.06790791405941453</v>
      </c>
      <c r="G2586" s="85">
        <f>AVERAGE(G2570:G2585)</f>
        <v>2.6067249999999977</v>
      </c>
      <c r="H2586" s="84"/>
      <c r="I2586" s="74"/>
    </row>
    <row r="2587" spans="1:9" ht="12.75">
      <c r="A2587" s="5"/>
      <c r="B2587" s="83"/>
      <c r="C2587" s="85"/>
      <c r="D2587" s="84"/>
      <c r="E2587" s="84"/>
      <c r="F2587" s="86"/>
      <c r="G2587" s="85"/>
      <c r="H2587" s="84"/>
      <c r="I2587" s="74"/>
    </row>
    <row r="2588" spans="1:9" ht="12.75">
      <c r="A2588" s="69" t="s">
        <v>0</v>
      </c>
      <c r="B2588" s="69" t="s">
        <v>1</v>
      </c>
      <c r="C2588" s="70" t="s">
        <v>337</v>
      </c>
      <c r="D2588" s="70" t="s">
        <v>218</v>
      </c>
      <c r="E2588" s="70" t="s">
        <v>73</v>
      </c>
      <c r="F2588" s="70" t="s">
        <v>5</v>
      </c>
      <c r="G2588" s="70" t="s">
        <v>6</v>
      </c>
      <c r="H2588" s="70" t="s">
        <v>7</v>
      </c>
      <c r="I2588" s="70" t="s">
        <v>8</v>
      </c>
    </row>
    <row r="2589" spans="1:9" ht="12.75">
      <c r="A2589" s="69" t="s">
        <v>338</v>
      </c>
      <c r="B2589" s="69" t="s">
        <v>339</v>
      </c>
      <c r="C2589" s="71">
        <f>(5/4)^1.49*E2589</f>
        <v>41.37266205019158</v>
      </c>
      <c r="D2589" s="70">
        <v>40.34</v>
      </c>
      <c r="E2589" s="70">
        <v>29.67</v>
      </c>
      <c r="F2589" s="72">
        <f>-((D2589-C2589)/D2589)</f>
        <v>0.02559896009399047</v>
      </c>
      <c r="G2589" s="71">
        <f>C2589-D2589</f>
        <v>1.0326620501915755</v>
      </c>
      <c r="H2589" s="70">
        <v>430</v>
      </c>
      <c r="I2589" s="70" t="s">
        <v>330</v>
      </c>
    </row>
    <row r="2590" spans="2:9" ht="12.75">
      <c r="B2590" s="69" t="s">
        <v>340</v>
      </c>
      <c r="C2590" s="71">
        <f>(5/4)^1.49*E2590</f>
        <v>33.675422598993144</v>
      </c>
      <c r="D2590" s="70">
        <v>32.73</v>
      </c>
      <c r="E2590" s="70">
        <v>24.15</v>
      </c>
      <c r="F2590" s="72">
        <f>-((D2590-C2590)/D2590)</f>
        <v>0.028885505621544374</v>
      </c>
      <c r="G2590" s="71">
        <f>C2590-D2590</f>
        <v>0.9454225989931473</v>
      </c>
      <c r="H2590" s="70">
        <v>430</v>
      </c>
      <c r="I2590" s="70" t="s">
        <v>330</v>
      </c>
    </row>
    <row r="2591" spans="2:9" ht="12.75">
      <c r="B2591" s="69" t="s">
        <v>341</v>
      </c>
      <c r="C2591" s="71">
        <f>(5/4)^1.49*E2591</f>
        <v>29.366641819246194</v>
      </c>
      <c r="D2591" s="70">
        <v>29</v>
      </c>
      <c r="E2591" s="70">
        <v>21.06</v>
      </c>
      <c r="F2591" s="72">
        <f>-((D2591-C2591)/D2591)</f>
        <v>0.012642821353317034</v>
      </c>
      <c r="G2591" s="71">
        <f>C2591-D2591</f>
        <v>0.366641819246194</v>
      </c>
      <c r="H2591" s="70">
        <v>430</v>
      </c>
      <c r="I2591" s="70" t="s">
        <v>330</v>
      </c>
    </row>
    <row r="2592" spans="2:9" ht="12.75">
      <c r="B2592" s="69" t="s">
        <v>334</v>
      </c>
      <c r="C2592" s="71">
        <f>(5/4)^1.49*E2592</f>
        <v>28.334765516005827</v>
      </c>
      <c r="D2592" s="70">
        <v>28.08</v>
      </c>
      <c r="E2592" s="70">
        <v>20.32</v>
      </c>
      <c r="F2592" s="72">
        <f>-((D2592-C2592)/D2592)</f>
        <v>0.0090728460116036</v>
      </c>
      <c r="G2592" s="71">
        <f>C2592-D2592</f>
        <v>0.2547655160058291</v>
      </c>
      <c r="H2592" s="70">
        <v>430</v>
      </c>
      <c r="I2592" s="70" t="s">
        <v>330</v>
      </c>
    </row>
    <row r="2593" spans="2:9" ht="12.75">
      <c r="B2593" s="69" t="s">
        <v>316</v>
      </c>
      <c r="C2593" s="71">
        <f>(5/4)^1.49*E2593</f>
        <v>23.91443054131397</v>
      </c>
      <c r="D2593" s="70">
        <v>23.9</v>
      </c>
      <c r="E2593" s="70">
        <v>17.15</v>
      </c>
      <c r="F2593" s="72">
        <f>-((D2593-C2593)/D2593)</f>
        <v>0.0006037883394966728</v>
      </c>
      <c r="G2593" s="71">
        <f>C2593-D2593</f>
        <v>0.01443054131397048</v>
      </c>
      <c r="H2593" s="70">
        <v>430</v>
      </c>
      <c r="I2593" s="70" t="s">
        <v>330</v>
      </c>
    </row>
    <row r="2594" spans="2:9" ht="12.75">
      <c r="B2594" s="69" t="s">
        <v>342</v>
      </c>
      <c r="C2594" s="71">
        <f>(5/4)^1.49*E2594</f>
        <v>36.91049425239538</v>
      </c>
      <c r="D2594" s="70">
        <v>36.1</v>
      </c>
      <c r="E2594" s="70">
        <v>26.47</v>
      </c>
      <c r="F2594" s="72">
        <f>-((D2594-C2594)/D2594)</f>
        <v>0.02245136433228198</v>
      </c>
      <c r="G2594" s="71">
        <f>C2594-D2594</f>
        <v>0.8104942523953795</v>
      </c>
      <c r="H2594" s="70">
        <v>430</v>
      </c>
      <c r="I2594" s="70" t="s">
        <v>330</v>
      </c>
    </row>
    <row r="2595" spans="2:9" ht="12.75">
      <c r="B2595" s="69" t="s">
        <v>343</v>
      </c>
      <c r="C2595" s="71">
        <f>(5/4)^1.49*E2595</f>
        <v>39.838791869699136</v>
      </c>
      <c r="D2595" s="70">
        <v>40.42</v>
      </c>
      <c r="E2595" s="70">
        <v>28.57</v>
      </c>
      <c r="F2595" s="72">
        <f>-((D2595-C2595)/D2595)</f>
        <v>-0.014379221432480587</v>
      </c>
      <c r="G2595" s="71">
        <f>C2595-D2595</f>
        <v>-0.5812081303008654</v>
      </c>
      <c r="H2595" s="70">
        <v>430</v>
      </c>
      <c r="I2595" s="70" t="s">
        <v>330</v>
      </c>
    </row>
    <row r="2596" spans="2:9" ht="12.75">
      <c r="B2596" s="69" t="s">
        <v>344</v>
      </c>
      <c r="C2596" s="71">
        <f>(5/4)^1.49*E2596</f>
        <v>34.73518745096974</v>
      </c>
      <c r="D2596" s="70">
        <v>34.53</v>
      </c>
      <c r="E2596" s="70">
        <v>24.91</v>
      </c>
      <c r="F2596" s="72">
        <f>-((D2596-C2596)/D2596)</f>
        <v>0.005942295133789124</v>
      </c>
      <c r="G2596" s="71">
        <f>C2596-D2596</f>
        <v>0.20518745096973845</v>
      </c>
      <c r="H2596" s="70">
        <v>430</v>
      </c>
      <c r="I2596" s="70" t="s">
        <v>330</v>
      </c>
    </row>
    <row r="2597" spans="2:9" ht="12.75">
      <c r="B2597" s="69" t="s">
        <v>345</v>
      </c>
      <c r="C2597" s="71">
        <f>(5/4)^1.49*E2597</f>
        <v>34.609688981656724</v>
      </c>
      <c r="D2597" s="70">
        <v>34.98</v>
      </c>
      <c r="E2597" s="70">
        <v>24.82</v>
      </c>
      <c r="F2597" s="72">
        <f>-((D2597-C2597)/D2597)</f>
        <v>-0.010586364160756798</v>
      </c>
      <c r="G2597" s="71">
        <f>C2597-D2597</f>
        <v>-0.37031101834327274</v>
      </c>
      <c r="H2597" s="70">
        <v>430</v>
      </c>
      <c r="I2597" s="70" t="s">
        <v>330</v>
      </c>
    </row>
    <row r="2598" spans="2:9" ht="12.75">
      <c r="B2598" s="69" t="s">
        <v>346</v>
      </c>
      <c r="C2598" s="71">
        <f>(5/4)^1.49*E2598</f>
        <v>31.472227248831274</v>
      </c>
      <c r="D2598" s="70">
        <v>31.87</v>
      </c>
      <c r="E2598" s="70">
        <v>22.57</v>
      </c>
      <c r="F2598" s="72">
        <f>-((D2598-C2598)/D2598)</f>
        <v>-0.012481102954776498</v>
      </c>
      <c r="G2598" s="71">
        <f>C2598-D2598</f>
        <v>-0.397772751168727</v>
      </c>
      <c r="H2598" s="70">
        <v>430</v>
      </c>
      <c r="I2598" s="70" t="s">
        <v>330</v>
      </c>
    </row>
    <row r="2599" spans="2:9" ht="12.75">
      <c r="B2599" s="69" t="s">
        <v>335</v>
      </c>
      <c r="C2599" s="71">
        <f>(5/4)^1.49*E2599</f>
        <v>29.61763875787223</v>
      </c>
      <c r="D2599" s="70">
        <v>30.56</v>
      </c>
      <c r="E2599" s="70">
        <v>21.24</v>
      </c>
      <c r="F2599" s="72">
        <f>-((D2599-C2599)/D2599)</f>
        <v>-0.030836428080097195</v>
      </c>
      <c r="G2599" s="71">
        <f>C2599-D2599</f>
        <v>-0.9423612421277703</v>
      </c>
      <c r="H2599" s="70">
        <v>430</v>
      </c>
      <c r="I2599" s="70" t="s">
        <v>330</v>
      </c>
    </row>
    <row r="2600" spans="2:9" ht="12.75">
      <c r="B2600" s="69" t="s">
        <v>317</v>
      </c>
      <c r="C2600" s="71">
        <f>(5/4)^1.49*E2600</f>
        <v>22.101674873459267</v>
      </c>
      <c r="D2600" s="70">
        <v>22.62</v>
      </c>
      <c r="E2600" s="70">
        <v>15.85</v>
      </c>
      <c r="F2600" s="72">
        <f>-((D2600-C2600)/D2600)</f>
        <v>-0.022914461827618665</v>
      </c>
      <c r="G2600" s="71">
        <f>C2600-D2600</f>
        <v>-0.5183251265407343</v>
      </c>
      <c r="H2600" s="70">
        <v>430</v>
      </c>
      <c r="I2600" s="70" t="s">
        <v>330</v>
      </c>
    </row>
    <row r="2601" spans="2:9" ht="12.75">
      <c r="B2601" s="69" t="s">
        <v>318</v>
      </c>
      <c r="C2601" s="71">
        <f>(5/4)^1.49*E2601</f>
        <v>30.78895780479373</v>
      </c>
      <c r="D2601" s="70">
        <v>31.12</v>
      </c>
      <c r="E2601" s="70">
        <v>22.08</v>
      </c>
      <c r="F2601" s="72">
        <f>-((D2601-C2601)/D2601)</f>
        <v>-0.01063760267372341</v>
      </c>
      <c r="G2601" s="71">
        <f>C2601-D2601</f>
        <v>-0.33104219520627254</v>
      </c>
      <c r="H2601" s="70">
        <v>430</v>
      </c>
      <c r="I2601" s="70" t="s">
        <v>330</v>
      </c>
    </row>
    <row r="2602" spans="2:9" ht="12.75">
      <c r="B2602" s="69"/>
      <c r="C2602" s="71"/>
      <c r="D2602" s="70"/>
      <c r="E2602" s="70" t="s">
        <v>14</v>
      </c>
      <c r="F2602" s="72">
        <f>AVERAGE(F2589:F2601)</f>
        <v>0.00025864613512077613</v>
      </c>
      <c r="G2602" s="71">
        <f>AVERAGE(G2589:G2601)</f>
        <v>0.03758336657139939</v>
      </c>
      <c r="H2602" s="70"/>
      <c r="I2602" s="70"/>
    </row>
    <row r="2603" spans="2:9" ht="12.75">
      <c r="B2603" s="69"/>
      <c r="C2603" s="71"/>
      <c r="D2603" s="70"/>
      <c r="E2603" s="70"/>
      <c r="F2603" s="72"/>
      <c r="G2603" s="71"/>
      <c r="H2603" s="70"/>
      <c r="I2603" s="70"/>
    </row>
    <row r="2604" spans="1:9" ht="12.75">
      <c r="A2604" s="73" t="s">
        <v>0</v>
      </c>
      <c r="B2604" s="73" t="s">
        <v>1</v>
      </c>
      <c r="C2604" s="74" t="s">
        <v>219</v>
      </c>
      <c r="D2604" s="74" t="s">
        <v>218</v>
      </c>
      <c r="E2604" s="74" t="s">
        <v>73</v>
      </c>
      <c r="F2604" s="74" t="s">
        <v>5</v>
      </c>
      <c r="G2604" s="74" t="s">
        <v>6</v>
      </c>
      <c r="H2604" s="74" t="s">
        <v>7</v>
      </c>
      <c r="I2604" s="74" t="s">
        <v>8</v>
      </c>
    </row>
    <row r="2605" spans="1:9" ht="12.75">
      <c r="A2605" s="73" t="s">
        <v>338</v>
      </c>
      <c r="B2605" s="73" t="s">
        <v>339</v>
      </c>
      <c r="C2605" s="75">
        <f>(5/4)^2*E2605</f>
        <v>46.359375</v>
      </c>
      <c r="D2605" s="74">
        <v>40.34</v>
      </c>
      <c r="E2605" s="74">
        <v>29.67</v>
      </c>
      <c r="F2605" s="76">
        <f>-((D2605-C2605)/D2605)</f>
        <v>0.1492160386712939</v>
      </c>
      <c r="G2605" s="75">
        <f>C2605-D2605</f>
        <v>6.019374999999997</v>
      </c>
      <c r="H2605" s="74">
        <v>430</v>
      </c>
      <c r="I2605" s="74" t="s">
        <v>330</v>
      </c>
    </row>
    <row r="2606" spans="1:9" ht="12.75">
      <c r="A2606" s="5"/>
      <c r="B2606" s="73" t="s">
        <v>340</v>
      </c>
      <c r="C2606" s="75">
        <f>(5/4)^2*E2606</f>
        <v>37.734375</v>
      </c>
      <c r="D2606" s="74">
        <v>32.73</v>
      </c>
      <c r="E2606" s="74">
        <v>24.15</v>
      </c>
      <c r="F2606" s="76">
        <f>-((D2606-C2606)/D2606)</f>
        <v>0.1528987167736023</v>
      </c>
      <c r="G2606" s="75">
        <f>C2606-D2606</f>
        <v>5.004375000000003</v>
      </c>
      <c r="H2606" s="74">
        <v>430</v>
      </c>
      <c r="I2606" s="74" t="s">
        <v>330</v>
      </c>
    </row>
    <row r="2607" spans="1:9" ht="12.75">
      <c r="A2607" s="5"/>
      <c r="B2607" s="73" t="s">
        <v>341</v>
      </c>
      <c r="C2607" s="75">
        <f>(5/4)^2*E2607</f>
        <v>32.90625</v>
      </c>
      <c r="D2607" s="74">
        <v>29</v>
      </c>
      <c r="E2607" s="74">
        <v>21.06</v>
      </c>
      <c r="F2607" s="76">
        <f>-((D2607-C2607)/D2607)</f>
        <v>0.13469827586206898</v>
      </c>
      <c r="G2607" s="75">
        <f>C2607-D2607</f>
        <v>3.90625</v>
      </c>
      <c r="H2607" s="74">
        <v>430</v>
      </c>
      <c r="I2607" s="74" t="s">
        <v>330</v>
      </c>
    </row>
    <row r="2608" spans="1:9" ht="12.75">
      <c r="A2608" s="5"/>
      <c r="B2608" s="73" t="s">
        <v>334</v>
      </c>
      <c r="C2608" s="75">
        <f>(5/4)^2*E2608</f>
        <v>31.75</v>
      </c>
      <c r="D2608" s="74">
        <v>28.08</v>
      </c>
      <c r="E2608" s="74">
        <v>20.32</v>
      </c>
      <c r="F2608" s="76">
        <f>-((D2608-C2608)/D2608)</f>
        <v>0.13069800569800577</v>
      </c>
      <c r="G2608" s="75">
        <f>C2608-D2608</f>
        <v>3.6700000000000017</v>
      </c>
      <c r="H2608" s="74">
        <v>430</v>
      </c>
      <c r="I2608" s="74" t="s">
        <v>330</v>
      </c>
    </row>
    <row r="2609" spans="1:9" ht="12.75">
      <c r="A2609" s="5"/>
      <c r="B2609" s="73" t="s">
        <v>316</v>
      </c>
      <c r="C2609" s="75">
        <f>(5/4)^2*E2609</f>
        <v>26.796874999999996</v>
      </c>
      <c r="D2609" s="74">
        <v>23.9</v>
      </c>
      <c r="E2609" s="74">
        <v>17.15</v>
      </c>
      <c r="F2609" s="76">
        <f>-((D2609-C2609)/D2609)</f>
        <v>0.12120815899581582</v>
      </c>
      <c r="G2609" s="75">
        <f>C2609-D2609</f>
        <v>2.896874999999998</v>
      </c>
      <c r="H2609" s="74">
        <v>430</v>
      </c>
      <c r="I2609" s="74" t="s">
        <v>330</v>
      </c>
    </row>
    <row r="2610" spans="1:9" ht="12.75">
      <c r="A2610" s="5"/>
      <c r="B2610" s="73" t="s">
        <v>342</v>
      </c>
      <c r="C2610" s="75">
        <f>(5/4)^2*E2610</f>
        <v>41.359375</v>
      </c>
      <c r="D2610" s="74">
        <v>36.1</v>
      </c>
      <c r="E2610" s="74">
        <v>26.47</v>
      </c>
      <c r="F2610" s="76">
        <f>-((D2610-C2610)/D2610)</f>
        <v>0.1456890581717451</v>
      </c>
      <c r="G2610" s="75">
        <f>C2610-D2610</f>
        <v>5.259374999999999</v>
      </c>
      <c r="H2610" s="74">
        <v>430</v>
      </c>
      <c r="I2610" s="74" t="s">
        <v>330</v>
      </c>
    </row>
    <row r="2611" spans="1:9" ht="12.75">
      <c r="A2611" s="5"/>
      <c r="B2611" s="73" t="s">
        <v>343</v>
      </c>
      <c r="C2611" s="75">
        <f>(5/4)^2*E2611</f>
        <v>44.640625</v>
      </c>
      <c r="D2611" s="74">
        <v>40.42</v>
      </c>
      <c r="E2611" s="74">
        <v>28.57</v>
      </c>
      <c r="F2611" s="76">
        <f>-((D2611-C2611)/D2611)</f>
        <v>0.104419223156853</v>
      </c>
      <c r="G2611" s="75">
        <f>C2611-D2611</f>
        <v>4.220624999999998</v>
      </c>
      <c r="H2611" s="74">
        <v>430</v>
      </c>
      <c r="I2611" s="74" t="s">
        <v>330</v>
      </c>
    </row>
    <row r="2612" spans="1:9" ht="12.75">
      <c r="A2612" s="5"/>
      <c r="B2612" s="73" t="s">
        <v>344</v>
      </c>
      <c r="C2612" s="75">
        <f>(5/4)^2*E2612</f>
        <v>38.921875</v>
      </c>
      <c r="D2612" s="74">
        <v>34.53</v>
      </c>
      <c r="E2612" s="74">
        <v>24.91</v>
      </c>
      <c r="F2612" s="76">
        <f>-((D2612-C2612)/D2612)</f>
        <v>0.12719012452939468</v>
      </c>
      <c r="G2612" s="75">
        <f>C2612-D2612</f>
        <v>4.391874999999999</v>
      </c>
      <c r="H2612" s="74">
        <v>430</v>
      </c>
      <c r="I2612" s="74" t="s">
        <v>330</v>
      </c>
    </row>
    <row r="2613" spans="1:9" ht="12.75">
      <c r="A2613" s="5"/>
      <c r="B2613" s="73" t="s">
        <v>345</v>
      </c>
      <c r="C2613" s="75">
        <f>(5/4)^2*E2613</f>
        <v>38.78125</v>
      </c>
      <c r="D2613" s="74">
        <v>34.98</v>
      </c>
      <c r="E2613" s="74">
        <v>24.82</v>
      </c>
      <c r="F2613" s="76">
        <f>-((D2613-C2613)/D2613)</f>
        <v>0.10866923956546608</v>
      </c>
      <c r="G2613" s="75">
        <f>C2613-D2613</f>
        <v>3.801250000000003</v>
      </c>
      <c r="H2613" s="74">
        <v>430</v>
      </c>
      <c r="I2613" s="74" t="s">
        <v>330</v>
      </c>
    </row>
    <row r="2614" spans="1:9" ht="12.75">
      <c r="A2614" s="5"/>
      <c r="B2614" s="73" t="s">
        <v>346</v>
      </c>
      <c r="C2614" s="75">
        <f>(5/4)^2*E2614</f>
        <v>35.265625</v>
      </c>
      <c r="D2614" s="74">
        <v>31.87</v>
      </c>
      <c r="E2614" s="74">
        <v>22.57</v>
      </c>
      <c r="F2614" s="76">
        <f>-((D2614-C2614)/D2614)</f>
        <v>0.10654612488233445</v>
      </c>
      <c r="G2614" s="75">
        <f>C2614-D2614</f>
        <v>3.395624999999999</v>
      </c>
      <c r="H2614" s="74">
        <v>430</v>
      </c>
      <c r="I2614" s="74" t="s">
        <v>330</v>
      </c>
    </row>
    <row r="2615" spans="1:9" ht="12.75">
      <c r="A2615" s="5"/>
      <c r="B2615" s="73" t="s">
        <v>335</v>
      </c>
      <c r="C2615" s="75">
        <f>(5/4)^2*E2615</f>
        <v>33.1875</v>
      </c>
      <c r="D2615" s="74">
        <v>30.56</v>
      </c>
      <c r="E2615" s="74">
        <v>21.24</v>
      </c>
      <c r="F2615" s="76">
        <f>-((D2615-C2615)/D2615)</f>
        <v>0.0859784031413613</v>
      </c>
      <c r="G2615" s="75">
        <f>C2615-D2615</f>
        <v>2.6275000000000013</v>
      </c>
      <c r="H2615" s="74">
        <v>430</v>
      </c>
      <c r="I2615" s="74" t="s">
        <v>330</v>
      </c>
    </row>
    <row r="2616" spans="1:9" ht="12.75">
      <c r="A2616" s="5"/>
      <c r="B2616" s="73" t="s">
        <v>317</v>
      </c>
      <c r="C2616" s="75">
        <f>(5/4)^2*E2616</f>
        <v>24.765625</v>
      </c>
      <c r="D2616" s="74">
        <v>22.62</v>
      </c>
      <c r="E2616" s="74">
        <v>15.85</v>
      </c>
      <c r="F2616" s="76">
        <f>-((D2616-C2616)/D2616)</f>
        <v>0.09485521662245795</v>
      </c>
      <c r="G2616" s="75">
        <f>C2616-D2616</f>
        <v>2.145624999999999</v>
      </c>
      <c r="H2616" s="74">
        <v>430</v>
      </c>
      <c r="I2616" s="74" t="s">
        <v>330</v>
      </c>
    </row>
    <row r="2617" spans="1:9" ht="12.75">
      <c r="A2617" s="5"/>
      <c r="B2617" s="73" t="s">
        <v>318</v>
      </c>
      <c r="C2617" s="75">
        <f>(5/4)^2*E2617</f>
        <v>34.5</v>
      </c>
      <c r="D2617" s="74">
        <v>31.12</v>
      </c>
      <c r="E2617" s="74">
        <v>22.08</v>
      </c>
      <c r="F2617" s="76">
        <f>-((D2617-C2617)/D2617)</f>
        <v>0.10861182519280202</v>
      </c>
      <c r="G2617" s="75">
        <f>C2617-D2617</f>
        <v>3.379999999999999</v>
      </c>
      <c r="H2617" s="74">
        <v>430</v>
      </c>
      <c r="I2617" s="74" t="s">
        <v>330</v>
      </c>
    </row>
    <row r="2618" spans="1:9" ht="12.75">
      <c r="A2618" s="5"/>
      <c r="B2618" s="73"/>
      <c r="C2618" s="75"/>
      <c r="D2618" s="74"/>
      <c r="E2618" s="74" t="s">
        <v>14</v>
      </c>
      <c r="F2618" s="76">
        <f>AVERAGE(F2605:F2617)</f>
        <v>0.1208214162510155</v>
      </c>
      <c r="G2618" s="75">
        <f>AVERAGE(G2605:G2617)</f>
        <v>3.9014423076923066</v>
      </c>
      <c r="H2618" s="74"/>
      <c r="I2618" s="74"/>
    </row>
    <row r="2619" spans="1:9" ht="12.75">
      <c r="A2619" s="5"/>
      <c r="B2619" s="73"/>
      <c r="C2619" s="75"/>
      <c r="D2619" s="74"/>
      <c r="E2619" s="74"/>
      <c r="F2619" s="76"/>
      <c r="G2619" s="75"/>
      <c r="H2619" s="74"/>
      <c r="I2619" s="74"/>
    </row>
    <row r="2620" spans="1:9" ht="12.75">
      <c r="A2620" s="79" t="s">
        <v>0</v>
      </c>
      <c r="B2620" s="79" t="s">
        <v>1</v>
      </c>
      <c r="C2620" s="80" t="s">
        <v>347</v>
      </c>
      <c r="D2620" s="80" t="s">
        <v>218</v>
      </c>
      <c r="E2620" s="80" t="s">
        <v>73</v>
      </c>
      <c r="F2620" s="80" t="s">
        <v>5</v>
      </c>
      <c r="G2620" s="80" t="s">
        <v>6</v>
      </c>
      <c r="H2620" s="80" t="s">
        <v>7</v>
      </c>
      <c r="I2620" s="80" t="s">
        <v>8</v>
      </c>
    </row>
    <row r="2621" spans="1:9" ht="12.75">
      <c r="A2621" s="79" t="s">
        <v>338</v>
      </c>
      <c r="B2621" s="79" t="s">
        <v>340</v>
      </c>
      <c r="C2621" s="81">
        <f>(6/5)^1.54*E2621</f>
        <v>43.339622504504334</v>
      </c>
      <c r="D2621" s="80">
        <v>42.55</v>
      </c>
      <c r="E2621" s="80">
        <v>32.73</v>
      </c>
      <c r="F2621" s="82">
        <f>-((D2621-C2621)/D2621)</f>
        <v>0.018557520669902152</v>
      </c>
      <c r="G2621" s="81">
        <f>C2621-D2621</f>
        <v>0.7896225045043366</v>
      </c>
      <c r="H2621" s="80">
        <v>430</v>
      </c>
      <c r="I2621" s="80" t="s">
        <v>330</v>
      </c>
    </row>
    <row r="2622" spans="2:9" ht="12.75">
      <c r="B2622" s="79" t="s">
        <v>341</v>
      </c>
      <c r="C2622" s="81">
        <f>(6/5)^1.54*E2622</f>
        <v>38.40052100918502</v>
      </c>
      <c r="D2622" s="80">
        <v>37.35</v>
      </c>
      <c r="E2622" s="80">
        <v>29</v>
      </c>
      <c r="F2622" s="82">
        <f>-((D2622-C2622)/D2622)</f>
        <v>0.028126399174967034</v>
      </c>
      <c r="G2622" s="81">
        <f>C2622-D2622</f>
        <v>1.0505210091850188</v>
      </c>
      <c r="H2622" s="80">
        <v>430</v>
      </c>
      <c r="I2622" s="80" t="s">
        <v>330</v>
      </c>
    </row>
    <row r="2623" spans="2:9" ht="12.75">
      <c r="B2623" s="79" t="s">
        <v>334</v>
      </c>
      <c r="C2623" s="81">
        <f>(6/5)^1.54*E2623</f>
        <v>37.18229758406605</v>
      </c>
      <c r="D2623" s="80">
        <v>36.03</v>
      </c>
      <c r="E2623" s="80">
        <v>28.08</v>
      </c>
      <c r="F2623" s="82">
        <f>-((D2623-C2623)/D2623)</f>
        <v>0.031981614878324946</v>
      </c>
      <c r="G2623" s="81">
        <f>C2623-D2623</f>
        <v>1.1522975840660479</v>
      </c>
      <c r="H2623" s="80">
        <v>430</v>
      </c>
      <c r="I2623" s="80" t="s">
        <v>330</v>
      </c>
    </row>
    <row r="2624" spans="2:9" ht="12.75">
      <c r="B2624" s="79" t="s">
        <v>316</v>
      </c>
      <c r="C2624" s="81">
        <f>(6/5)^1.54*E2624</f>
        <v>31.64732593515593</v>
      </c>
      <c r="D2624" s="80">
        <v>30.96</v>
      </c>
      <c r="E2624" s="80">
        <v>23.9</v>
      </c>
      <c r="F2624" s="82">
        <f>-((D2624-C2624)/D2624)</f>
        <v>0.022200450101935693</v>
      </c>
      <c r="G2624" s="81">
        <f>C2624-D2624</f>
        <v>0.6873259351559291</v>
      </c>
      <c r="H2624" s="80">
        <v>430</v>
      </c>
      <c r="I2624" s="80" t="s">
        <v>330</v>
      </c>
    </row>
    <row r="2625" spans="2:9" ht="12.75">
      <c r="B2625" s="79" t="s">
        <v>312</v>
      </c>
      <c r="C2625" s="81">
        <f>(6/5)^1.54*E2625</f>
        <v>26.82739847055478</v>
      </c>
      <c r="D2625" s="80">
        <v>26.79</v>
      </c>
      <c r="E2625" s="80">
        <v>20.26</v>
      </c>
      <c r="F2625" s="82">
        <f>-((D2625-C2625)/D2625)</f>
        <v>0.0013959862095849391</v>
      </c>
      <c r="G2625" s="81">
        <f>C2625-D2625</f>
        <v>0.037398470554780516</v>
      </c>
      <c r="H2625" s="80">
        <v>430</v>
      </c>
      <c r="I2625" s="80" t="s">
        <v>330</v>
      </c>
    </row>
    <row r="2626" spans="2:9" ht="12.75">
      <c r="B2626" s="79" t="s">
        <v>300</v>
      </c>
      <c r="C2626" s="81">
        <f>(6/5)^1.54*E2626</f>
        <v>24.669024358659204</v>
      </c>
      <c r="D2626" s="80">
        <v>24.45</v>
      </c>
      <c r="E2626" s="80">
        <v>18.63</v>
      </c>
      <c r="F2626" s="82">
        <f>-((D2626-C2626)/D2626)</f>
        <v>0.008958051478904076</v>
      </c>
      <c r="G2626" s="81">
        <f>C2626-D2626</f>
        <v>0.21902435865920467</v>
      </c>
      <c r="H2626" s="80">
        <v>430</v>
      </c>
      <c r="I2626" s="80" t="s">
        <v>330</v>
      </c>
    </row>
    <row r="2627" spans="2:9" ht="12.75">
      <c r="B2627" s="79" t="s">
        <v>335</v>
      </c>
      <c r="C2627" s="81">
        <f>(6/5)^1.54*E2627</f>
        <v>40.4662042082998</v>
      </c>
      <c r="D2627" s="80">
        <v>43.59</v>
      </c>
      <c r="E2627" s="80">
        <v>30.56</v>
      </c>
      <c r="F2627" s="82">
        <f>-((D2627-C2627)/D2627)</f>
        <v>-0.0716631289676578</v>
      </c>
      <c r="G2627" s="81">
        <f>C2627-D2627</f>
        <v>-3.1237957917002035</v>
      </c>
      <c r="H2627" s="80">
        <v>430</v>
      </c>
      <c r="I2627" s="80" t="s">
        <v>330</v>
      </c>
    </row>
    <row r="2628" spans="2:9" ht="12.75">
      <c r="B2628" s="79" t="s">
        <v>317</v>
      </c>
      <c r="C2628" s="81">
        <f>(6/5)^1.54*E2628</f>
        <v>29.95240638716432</v>
      </c>
      <c r="D2628" s="80">
        <v>30.03</v>
      </c>
      <c r="E2628" s="80">
        <v>22.62</v>
      </c>
      <c r="F2628" s="82">
        <f>-((D2628-C2628)/D2628)</f>
        <v>-0.002583869891298072</v>
      </c>
      <c r="G2628" s="81">
        <f>C2628-D2628</f>
        <v>-0.07759361283568111</v>
      </c>
      <c r="H2628" s="80">
        <v>430</v>
      </c>
      <c r="I2628" s="80" t="s">
        <v>330</v>
      </c>
    </row>
    <row r="2629" spans="2:9" ht="12.75">
      <c r="B2629" s="79" t="s">
        <v>283</v>
      </c>
      <c r="C2629" s="81">
        <f>(6/5)^1.54*E2629</f>
        <v>27.860240070112166</v>
      </c>
      <c r="D2629" s="80">
        <v>28.67</v>
      </c>
      <c r="E2629" s="80">
        <v>21.04</v>
      </c>
      <c r="F2629" s="82">
        <f>-((D2629-C2629)/D2629)</f>
        <v>-0.02824415521059769</v>
      </c>
      <c r="G2629" s="81">
        <f>C2629-D2629</f>
        <v>-0.8097599298878357</v>
      </c>
      <c r="H2629" s="80">
        <v>430</v>
      </c>
      <c r="I2629" s="80" t="s">
        <v>330</v>
      </c>
    </row>
    <row r="2630" spans="2:9" ht="12.75">
      <c r="B2630" s="79" t="s">
        <v>318</v>
      </c>
      <c r="C2630" s="81">
        <f>(6/5)^1.54*E2630</f>
        <v>41.20773151054613</v>
      </c>
      <c r="D2630" s="80">
        <v>39.82</v>
      </c>
      <c r="E2630" s="80">
        <v>31.12</v>
      </c>
      <c r="F2630" s="82">
        <f>-((D2630-C2630)/D2630)</f>
        <v>0.034850113273383526</v>
      </c>
      <c r="G2630" s="81">
        <f>C2630-D2630</f>
        <v>1.387731510546132</v>
      </c>
      <c r="H2630" s="80">
        <v>430</v>
      </c>
      <c r="I2630" s="80" t="s">
        <v>330</v>
      </c>
    </row>
    <row r="2631" spans="2:9" ht="12.75">
      <c r="B2631" s="79" t="s">
        <v>319</v>
      </c>
      <c r="C2631" s="81">
        <f>(6/5)^1.54*E2631</f>
        <v>28.38990242885955</v>
      </c>
      <c r="D2631" s="80">
        <v>28.58</v>
      </c>
      <c r="E2631" s="80">
        <v>21.44</v>
      </c>
      <c r="F2631" s="82">
        <f>-((D2631-C2631)/D2631)</f>
        <v>-0.006651419564046482</v>
      </c>
      <c r="G2631" s="81">
        <f>C2631-D2631</f>
        <v>-0.19009757114044845</v>
      </c>
      <c r="H2631" s="80">
        <v>430</v>
      </c>
      <c r="I2631" s="80" t="s">
        <v>330</v>
      </c>
    </row>
    <row r="2632" spans="2:9" ht="12.75">
      <c r="B2632" s="79" t="s">
        <v>320</v>
      </c>
      <c r="C2632" s="81">
        <f>(6/5)^1.54*E2632</f>
        <v>28.231003721235332</v>
      </c>
      <c r="D2632" s="80">
        <v>28.32</v>
      </c>
      <c r="E2632" s="80">
        <v>21.32</v>
      </c>
      <c r="F2632" s="82">
        <f>-((D2632-C2632)/D2632)</f>
        <v>-0.003142523967678958</v>
      </c>
      <c r="G2632" s="81">
        <f>C2632-D2632</f>
        <v>-0.08899627876466809</v>
      </c>
      <c r="H2632" s="80">
        <v>430</v>
      </c>
      <c r="I2632" s="80" t="s">
        <v>330</v>
      </c>
    </row>
    <row r="2633" spans="2:9" ht="12.75">
      <c r="B2633" s="79" t="s">
        <v>284</v>
      </c>
      <c r="C2633" s="81">
        <f>(6/5)^1.54*E2633</f>
        <v>26.48311793736898</v>
      </c>
      <c r="D2633" s="80">
        <v>27.4</v>
      </c>
      <c r="E2633" s="80">
        <v>20</v>
      </c>
      <c r="F2633" s="82">
        <f>-((D2633-C2633)/D2633)</f>
        <v>-0.03346284900113204</v>
      </c>
      <c r="G2633" s="81">
        <f>C2633-D2633</f>
        <v>-0.9168820626310179</v>
      </c>
      <c r="H2633" s="80">
        <v>430</v>
      </c>
      <c r="I2633" s="80" t="s">
        <v>330</v>
      </c>
    </row>
    <row r="2634" spans="2:9" ht="12.75">
      <c r="B2634" s="79" t="s">
        <v>285</v>
      </c>
      <c r="C2634" s="81">
        <f>(6/5)^1.54*E2634</f>
        <v>29.46246870532299</v>
      </c>
      <c r="D2634" s="80">
        <v>31.58</v>
      </c>
      <c r="E2634" s="80">
        <v>22.25</v>
      </c>
      <c r="F2634" s="82">
        <f>-((D2634-C2634)/D2634)</f>
        <v>-0.067052922567353</v>
      </c>
      <c r="G2634" s="81">
        <f>C2634-D2634</f>
        <v>-2.1175312946770077</v>
      </c>
      <c r="H2634" s="80">
        <v>430</v>
      </c>
      <c r="I2634" s="80" t="s">
        <v>330</v>
      </c>
    </row>
    <row r="2635" spans="2:9" ht="12.75">
      <c r="B2635" s="79" t="s">
        <v>286</v>
      </c>
      <c r="C2635" s="81">
        <f>(6/5)^1.54*E2635</f>
        <v>23.464042492508916</v>
      </c>
      <c r="D2635" s="80">
        <v>24.07</v>
      </c>
      <c r="E2635" s="80">
        <v>17.72</v>
      </c>
      <c r="F2635" s="82">
        <f>-((D2635-C2635)/D2635)</f>
        <v>-0.025174802970132276</v>
      </c>
      <c r="G2635" s="81">
        <f>C2635-D2635</f>
        <v>-0.6059575074910839</v>
      </c>
      <c r="H2635" s="80">
        <v>430</v>
      </c>
      <c r="I2635" s="80" t="s">
        <v>330</v>
      </c>
    </row>
    <row r="2636" spans="2:9" ht="12.75">
      <c r="B2636" s="79" t="s">
        <v>308</v>
      </c>
      <c r="C2636" s="81">
        <f>(6/5)^1.54*E2636</f>
        <v>23.464042492508916</v>
      </c>
      <c r="D2636" s="80">
        <v>20.78</v>
      </c>
      <c r="E2636" s="80">
        <v>17.72</v>
      </c>
      <c r="F2636" s="82">
        <f>-((D2636-C2636)/D2636)</f>
        <v>0.1291647012756937</v>
      </c>
      <c r="G2636" s="81">
        <f>C2636-D2636</f>
        <v>2.6840424925089152</v>
      </c>
      <c r="H2636" s="80">
        <v>430</v>
      </c>
      <c r="I2636" s="80" t="s">
        <v>330</v>
      </c>
    </row>
    <row r="2637" spans="2:9" ht="12.75">
      <c r="B2637" s="79" t="s">
        <v>287</v>
      </c>
      <c r="C2637" s="81">
        <f>(6/5)^1.54*E2637</f>
        <v>23.199211313135226</v>
      </c>
      <c r="D2637" s="80">
        <v>24.09</v>
      </c>
      <c r="E2637" s="80">
        <v>17.52</v>
      </c>
      <c r="F2637" s="82">
        <f>-((D2637-C2637)/D2637)</f>
        <v>-0.036977529550218914</v>
      </c>
      <c r="G2637" s="81">
        <f>C2637-D2637</f>
        <v>-0.8907886868647736</v>
      </c>
      <c r="H2637" s="80">
        <v>430</v>
      </c>
      <c r="I2637" s="80" t="s">
        <v>330</v>
      </c>
    </row>
    <row r="2638" spans="5:7" ht="12.75">
      <c r="E2638" s="80" t="s">
        <v>14</v>
      </c>
      <c r="F2638" s="82">
        <f>AVERAGE(F2621:F2637)</f>
        <v>1.656678662240276E-05</v>
      </c>
      <c r="G2638" s="81">
        <f>AVERAGE(G2621:G2637)</f>
        <v>-0.04784934534190325</v>
      </c>
    </row>
    <row r="2640" spans="1:9" ht="12.75">
      <c r="A2640" s="83" t="s">
        <v>0</v>
      </c>
      <c r="B2640" s="83" t="s">
        <v>1</v>
      </c>
      <c r="C2640" s="84" t="s">
        <v>247</v>
      </c>
      <c r="D2640" s="84" t="s">
        <v>218</v>
      </c>
      <c r="E2640" s="84" t="s">
        <v>73</v>
      </c>
      <c r="F2640" s="84" t="s">
        <v>5</v>
      </c>
      <c r="G2640" s="84" t="s">
        <v>6</v>
      </c>
      <c r="H2640" s="84" t="s">
        <v>7</v>
      </c>
      <c r="I2640" s="84" t="s">
        <v>8</v>
      </c>
    </row>
    <row r="2641" spans="1:9" ht="12.75">
      <c r="A2641" s="83" t="s">
        <v>338</v>
      </c>
      <c r="B2641" s="83" t="s">
        <v>340</v>
      </c>
      <c r="C2641" s="85">
        <f>(6/5)^2*E2641</f>
        <v>47.13119999999999</v>
      </c>
      <c r="D2641" s="84">
        <v>42.55</v>
      </c>
      <c r="E2641" s="84">
        <v>32.73</v>
      </c>
      <c r="F2641" s="86">
        <f>-((D2641-C2641)/D2641)</f>
        <v>0.1076662749706227</v>
      </c>
      <c r="G2641" s="85">
        <f>C2641-D2641</f>
        <v>4.5811999999999955</v>
      </c>
      <c r="H2641" s="84">
        <v>430</v>
      </c>
      <c r="I2641" s="84" t="s">
        <v>330</v>
      </c>
    </row>
    <row r="2642" spans="1:9" ht="12.75">
      <c r="A2642" s="5"/>
      <c r="B2642" s="83" t="s">
        <v>341</v>
      </c>
      <c r="C2642" s="85">
        <f>(6/5)^2*E2642</f>
        <v>41.76</v>
      </c>
      <c r="D2642" s="84">
        <v>37.35</v>
      </c>
      <c r="E2642" s="84">
        <v>29</v>
      </c>
      <c r="F2642" s="86">
        <f>-((D2642-C2642)/D2642)</f>
        <v>0.11807228915662642</v>
      </c>
      <c r="G2642" s="85">
        <f>C2642-D2642</f>
        <v>4.409999999999997</v>
      </c>
      <c r="H2642" s="84">
        <v>430</v>
      </c>
      <c r="I2642" s="84" t="s">
        <v>330</v>
      </c>
    </row>
    <row r="2643" spans="1:9" ht="12.75">
      <c r="A2643" s="5"/>
      <c r="B2643" s="83" t="s">
        <v>334</v>
      </c>
      <c r="C2643" s="85">
        <f>(6/5)^2*E2643</f>
        <v>40.435199999999995</v>
      </c>
      <c r="D2643" s="84">
        <v>36.03</v>
      </c>
      <c r="E2643" s="84">
        <v>28.08</v>
      </c>
      <c r="F2643" s="86">
        <f>-((D2643-C2643)/D2643)</f>
        <v>0.12226477935054103</v>
      </c>
      <c r="G2643" s="85">
        <f>C2643-D2643</f>
        <v>4.405199999999994</v>
      </c>
      <c r="H2643" s="84">
        <v>430</v>
      </c>
      <c r="I2643" s="84" t="s">
        <v>330</v>
      </c>
    </row>
    <row r="2644" spans="1:9" ht="12.75">
      <c r="A2644" s="5"/>
      <c r="B2644" s="83" t="s">
        <v>316</v>
      </c>
      <c r="C2644" s="85">
        <f>(6/5)^2*E2644</f>
        <v>34.416</v>
      </c>
      <c r="D2644" s="84">
        <v>30.96</v>
      </c>
      <c r="E2644" s="84">
        <v>23.9</v>
      </c>
      <c r="F2644" s="86">
        <f>-((D2644-C2644)/D2644)</f>
        <v>0.11162790697674405</v>
      </c>
      <c r="G2644" s="85">
        <f>C2644-D2644</f>
        <v>3.455999999999996</v>
      </c>
      <c r="H2644" s="84">
        <v>430</v>
      </c>
      <c r="I2644" s="84" t="s">
        <v>330</v>
      </c>
    </row>
    <row r="2645" spans="1:9" ht="12.75">
      <c r="A2645" s="5"/>
      <c r="B2645" s="83" t="s">
        <v>312</v>
      </c>
      <c r="C2645" s="85">
        <f>(6/5)^2*E2645</f>
        <v>29.174400000000002</v>
      </c>
      <c r="D2645" s="84">
        <v>26.79</v>
      </c>
      <c r="E2645" s="84">
        <v>20.26</v>
      </c>
      <c r="F2645" s="86">
        <f>-((D2645-C2645)/D2645)</f>
        <v>0.08900335946248611</v>
      </c>
      <c r="G2645" s="85">
        <f>C2645-D2645</f>
        <v>2.384400000000003</v>
      </c>
      <c r="H2645" s="84">
        <v>430</v>
      </c>
      <c r="I2645" s="84" t="s">
        <v>330</v>
      </c>
    </row>
    <row r="2646" spans="1:9" ht="12.75">
      <c r="A2646" s="5"/>
      <c r="B2646" s="83" t="s">
        <v>300</v>
      </c>
      <c r="C2646" s="85">
        <f>(6/5)^2*E2646</f>
        <v>26.827199999999998</v>
      </c>
      <c r="D2646" s="84">
        <v>24.45</v>
      </c>
      <c r="E2646" s="84">
        <v>18.63</v>
      </c>
      <c r="F2646" s="86">
        <f>-((D2646-C2646)/D2646)</f>
        <v>0.09722699386503061</v>
      </c>
      <c r="G2646" s="85">
        <f>C2646-D2646</f>
        <v>2.3771999999999984</v>
      </c>
      <c r="H2646" s="84">
        <v>430</v>
      </c>
      <c r="I2646" s="84" t="s">
        <v>330</v>
      </c>
    </row>
    <row r="2647" spans="1:9" ht="12.75">
      <c r="A2647" s="5"/>
      <c r="B2647" s="83" t="s">
        <v>335</v>
      </c>
      <c r="C2647" s="85">
        <f>(6/5)^2*E2647</f>
        <v>44.0064</v>
      </c>
      <c r="D2647" s="84">
        <v>43.59</v>
      </c>
      <c r="E2647" s="84">
        <v>30.56</v>
      </c>
      <c r="F2647" s="86">
        <f>-((D2647-C2647)/D2647)</f>
        <v>0.009552649690295845</v>
      </c>
      <c r="G2647" s="85">
        <f>C2647-D2647</f>
        <v>0.4163999999999959</v>
      </c>
      <c r="H2647" s="84">
        <v>430</v>
      </c>
      <c r="I2647" s="84" t="s">
        <v>330</v>
      </c>
    </row>
    <row r="2648" spans="1:9" ht="12.75">
      <c r="A2648" s="5"/>
      <c r="B2648" s="83" t="s">
        <v>317</v>
      </c>
      <c r="C2648" s="85">
        <f>(6/5)^2*E2648</f>
        <v>32.5728</v>
      </c>
      <c r="D2648" s="84">
        <v>30.03</v>
      </c>
      <c r="E2648" s="84">
        <v>22.62</v>
      </c>
      <c r="F2648" s="86">
        <f>-((D2648-C2648)/D2648)</f>
        <v>0.08467532467532467</v>
      </c>
      <c r="G2648" s="85">
        <f>C2648-D2648</f>
        <v>2.5427999999999997</v>
      </c>
      <c r="H2648" s="84">
        <v>430</v>
      </c>
      <c r="I2648" s="84" t="s">
        <v>330</v>
      </c>
    </row>
    <row r="2649" spans="1:9" ht="12.75">
      <c r="A2649" s="5"/>
      <c r="B2649" s="83" t="s">
        <v>283</v>
      </c>
      <c r="C2649" s="85">
        <f>(6/5)^2*E2649</f>
        <v>30.2976</v>
      </c>
      <c r="D2649" s="84">
        <v>28.67</v>
      </c>
      <c r="E2649" s="84">
        <v>21.04</v>
      </c>
      <c r="F2649" s="86">
        <f>-((D2649-C2649)/D2649)</f>
        <v>0.05677014300662705</v>
      </c>
      <c r="G2649" s="85">
        <f>C2649-D2649</f>
        <v>1.6275999999999975</v>
      </c>
      <c r="H2649" s="84">
        <v>430</v>
      </c>
      <c r="I2649" s="84" t="s">
        <v>330</v>
      </c>
    </row>
    <row r="2650" spans="1:9" ht="12.75">
      <c r="A2650" s="5"/>
      <c r="B2650" s="83" t="s">
        <v>318</v>
      </c>
      <c r="C2650" s="85">
        <f>(6/5)^2*E2650</f>
        <v>44.8128</v>
      </c>
      <c r="D2650" s="84">
        <v>39.82</v>
      </c>
      <c r="E2650" s="84">
        <v>31.12</v>
      </c>
      <c r="F2650" s="86">
        <f>-((D2650-C2650)/D2650)</f>
        <v>0.12538422903063792</v>
      </c>
      <c r="G2650" s="85">
        <f>C2650-D2650</f>
        <v>4.992800000000003</v>
      </c>
      <c r="H2650" s="84">
        <v>430</v>
      </c>
      <c r="I2650" s="84" t="s">
        <v>330</v>
      </c>
    </row>
    <row r="2651" spans="1:9" ht="12.75">
      <c r="A2651" s="5"/>
      <c r="B2651" s="83" t="s">
        <v>319</v>
      </c>
      <c r="C2651" s="85">
        <f>(6/5)^2*E2651</f>
        <v>30.8736</v>
      </c>
      <c r="D2651" s="84">
        <v>28.58</v>
      </c>
      <c r="E2651" s="84">
        <v>21.44</v>
      </c>
      <c r="F2651" s="86">
        <f>-((D2651-C2651)/D2651)</f>
        <v>0.08025192442267325</v>
      </c>
      <c r="G2651" s="85">
        <f>C2651-D2651</f>
        <v>2.2936000000000014</v>
      </c>
      <c r="H2651" s="84">
        <v>430</v>
      </c>
      <c r="I2651" s="84" t="s">
        <v>330</v>
      </c>
    </row>
    <row r="2652" spans="1:9" ht="12.75">
      <c r="A2652" s="5"/>
      <c r="B2652" s="83" t="s">
        <v>320</v>
      </c>
      <c r="C2652" s="85">
        <f>(6/5)^2*E2652</f>
        <v>30.7008</v>
      </c>
      <c r="D2652" s="84">
        <v>28.32</v>
      </c>
      <c r="E2652" s="84">
        <v>21.32</v>
      </c>
      <c r="F2652" s="86">
        <f>-((D2652-C2652)/D2652)</f>
        <v>0.08406779661016951</v>
      </c>
      <c r="G2652" s="85">
        <f>C2652-D2652</f>
        <v>2.3808000000000007</v>
      </c>
      <c r="H2652" s="84">
        <v>430</v>
      </c>
      <c r="I2652" s="84" t="s">
        <v>330</v>
      </c>
    </row>
    <row r="2653" spans="1:9" ht="12.75">
      <c r="A2653" s="5"/>
      <c r="B2653" s="83" t="s">
        <v>284</v>
      </c>
      <c r="C2653" s="85">
        <f>(6/5)^2*E2653</f>
        <v>28.799999999999997</v>
      </c>
      <c r="D2653" s="84">
        <v>27.4</v>
      </c>
      <c r="E2653" s="84">
        <v>20</v>
      </c>
      <c r="F2653" s="86">
        <f>-((D2653-C2653)/D2653)</f>
        <v>0.05109489051094886</v>
      </c>
      <c r="G2653" s="85">
        <f>C2653-D2653</f>
        <v>1.3999999999999986</v>
      </c>
      <c r="H2653" s="84">
        <v>430</v>
      </c>
      <c r="I2653" s="84" t="s">
        <v>330</v>
      </c>
    </row>
    <row r="2654" spans="1:9" ht="12.75">
      <c r="A2654" s="5"/>
      <c r="B2654" s="83" t="s">
        <v>285</v>
      </c>
      <c r="C2654" s="85">
        <f>(6/5)^2*E2654</f>
        <v>32.04</v>
      </c>
      <c r="D2654" s="84">
        <v>31.58</v>
      </c>
      <c r="E2654" s="84">
        <v>22.25</v>
      </c>
      <c r="F2654" s="86">
        <f>-((D2654-C2654)/D2654)</f>
        <v>0.014566181127295784</v>
      </c>
      <c r="G2654" s="85">
        <f>C2654-D2654</f>
        <v>0.46000000000000085</v>
      </c>
      <c r="H2654" s="84">
        <v>430</v>
      </c>
      <c r="I2654" s="84" t="s">
        <v>330</v>
      </c>
    </row>
    <row r="2655" spans="1:9" ht="12.75">
      <c r="A2655" s="5"/>
      <c r="B2655" s="83" t="s">
        <v>286</v>
      </c>
      <c r="C2655" s="85">
        <f>(6/5)^2*E2655</f>
        <v>25.516799999999996</v>
      </c>
      <c r="D2655" s="84">
        <v>24.07</v>
      </c>
      <c r="E2655" s="84">
        <v>17.72</v>
      </c>
      <c r="F2655" s="86">
        <f>-((D2655-C2655)/D2655)</f>
        <v>0.060108018280016454</v>
      </c>
      <c r="G2655" s="85">
        <f>C2655-D2655</f>
        <v>1.446799999999996</v>
      </c>
      <c r="H2655" s="84">
        <v>430</v>
      </c>
      <c r="I2655" s="84" t="s">
        <v>330</v>
      </c>
    </row>
    <row r="2656" spans="1:9" ht="12.75">
      <c r="A2656" s="5"/>
      <c r="B2656" s="83" t="s">
        <v>308</v>
      </c>
      <c r="C2656" s="85">
        <f>(6/5)^2*E2656</f>
        <v>25.516799999999996</v>
      </c>
      <c r="D2656" s="84">
        <v>20.78</v>
      </c>
      <c r="E2656" s="84">
        <v>17.72</v>
      </c>
      <c r="F2656" s="86">
        <f>-((D2656-C2656)/D2656)</f>
        <v>0.2279499518768044</v>
      </c>
      <c r="G2656" s="85">
        <f>C2656-D2656</f>
        <v>4.736799999999995</v>
      </c>
      <c r="H2656" s="84">
        <v>430</v>
      </c>
      <c r="I2656" s="84" t="s">
        <v>330</v>
      </c>
    </row>
    <row r="2657" spans="1:9" ht="12.75">
      <c r="A2657" s="5"/>
      <c r="B2657" s="83" t="s">
        <v>287</v>
      </c>
      <c r="C2657" s="85">
        <f>(6/5)^2*E2657</f>
        <v>25.2288</v>
      </c>
      <c r="D2657" s="84">
        <v>24.09</v>
      </c>
      <c r="E2657" s="84">
        <v>17.52</v>
      </c>
      <c r="F2657" s="86">
        <f>-((D2657-C2657)/D2657)</f>
        <v>0.047272727272727265</v>
      </c>
      <c r="G2657" s="85">
        <f>C2657-D2657</f>
        <v>1.1387999999999998</v>
      </c>
      <c r="H2657" s="84">
        <v>430</v>
      </c>
      <c r="I2657" s="84" t="s">
        <v>330</v>
      </c>
    </row>
    <row r="2658" spans="1:9" ht="12.75">
      <c r="A2658" s="5"/>
      <c r="B2658" s="5"/>
      <c r="C2658" s="5"/>
      <c r="D2658" s="5"/>
      <c r="E2658" s="84" t="s">
        <v>14</v>
      </c>
      <c r="F2658" s="86">
        <f>AVERAGE(F2641:F2657)</f>
        <v>0.08750326119326896</v>
      </c>
      <c r="G2658" s="85">
        <f>AVERAGE(G2641:G2657)</f>
        <v>2.650023529411763</v>
      </c>
      <c r="H2658" s="5"/>
      <c r="I2658" s="5"/>
    </row>
    <row r="2659" spans="1:9" ht="12.75">
      <c r="A2659" s="5"/>
      <c r="B2659" s="5"/>
      <c r="C2659" s="5"/>
      <c r="D2659" s="5"/>
      <c r="E2659" s="84"/>
      <c r="F2659" s="86"/>
      <c r="G2659" s="85"/>
      <c r="H2659" s="5"/>
      <c r="I2659" s="5"/>
    </row>
    <row r="2660" spans="1:9" ht="12.75">
      <c r="A2660" s="90" t="s">
        <v>0</v>
      </c>
      <c r="B2660" s="90" t="s">
        <v>1</v>
      </c>
      <c r="C2660" s="91" t="s">
        <v>348</v>
      </c>
      <c r="D2660" s="91" t="s">
        <v>206</v>
      </c>
      <c r="E2660" s="91" t="s">
        <v>194</v>
      </c>
      <c r="F2660" s="91" t="s">
        <v>5</v>
      </c>
      <c r="G2660" s="91" t="s">
        <v>6</v>
      </c>
      <c r="H2660" s="91" t="s">
        <v>7</v>
      </c>
      <c r="I2660" s="91" t="s">
        <v>8</v>
      </c>
    </row>
    <row r="2661" spans="1:9" ht="12.75">
      <c r="A2661" s="90" t="s">
        <v>338</v>
      </c>
      <c r="B2661" s="90" t="s">
        <v>312</v>
      </c>
      <c r="C2661" s="92">
        <f>(8/6)^1.65*E2661</f>
        <v>43.06472011548067</v>
      </c>
      <c r="D2661" s="91">
        <v>40.01</v>
      </c>
      <c r="E2661" s="91">
        <v>26.79</v>
      </c>
      <c r="F2661" s="93">
        <f>-((D2661-C2661)/D2661)</f>
        <v>0.07634891565810223</v>
      </c>
      <c r="G2661" s="92">
        <f>C2661-D2661</f>
        <v>3.05472011548067</v>
      </c>
      <c r="H2661" s="91">
        <v>430</v>
      </c>
      <c r="I2661" s="91" t="s">
        <v>330</v>
      </c>
    </row>
    <row r="2662" spans="1:9" ht="12.75">
      <c r="A2662" s="94"/>
      <c r="B2662" s="90" t="s">
        <v>300</v>
      </c>
      <c r="C2662" s="92">
        <f>(8/6)^1.65*E2662</f>
        <v>39.30318801132894</v>
      </c>
      <c r="D2662" s="91">
        <v>37.28</v>
      </c>
      <c r="E2662" s="91">
        <v>24.45</v>
      </c>
      <c r="F2662" s="93">
        <f>-((D2662-C2662)/D2662)</f>
        <v>0.05427006468157029</v>
      </c>
      <c r="G2662" s="92">
        <f>C2662-D2662</f>
        <v>2.0231880113289407</v>
      </c>
      <c r="H2662" s="91">
        <v>430</v>
      </c>
      <c r="I2662" s="91" t="s">
        <v>330</v>
      </c>
    </row>
    <row r="2663" spans="1:9" ht="12.75">
      <c r="A2663" s="94"/>
      <c r="B2663" s="90" t="s">
        <v>288</v>
      </c>
      <c r="C2663" s="92">
        <f>(8/6)^1.65*E2663</f>
        <v>35.4291314425231</v>
      </c>
      <c r="D2663" s="91">
        <v>36.41</v>
      </c>
      <c r="E2663" s="91">
        <v>22.04</v>
      </c>
      <c r="F2663" s="93">
        <f>-((D2663-C2663)/D2663)</f>
        <v>-0.026939537420403625</v>
      </c>
      <c r="G2663" s="92">
        <f>C2663-D2663</f>
        <v>-0.9808685574768958</v>
      </c>
      <c r="H2663" s="91">
        <v>430</v>
      </c>
      <c r="I2663" s="91" t="s">
        <v>330</v>
      </c>
    </row>
    <row r="2664" spans="1:9" ht="12.75">
      <c r="A2664" s="94"/>
      <c r="B2664" s="90" t="s">
        <v>286</v>
      </c>
      <c r="C2664" s="92">
        <f>(8/6)^1.65*E2664</f>
        <v>38.69234091749234</v>
      </c>
      <c r="D2664" s="91">
        <v>38.38</v>
      </c>
      <c r="E2664" s="91">
        <v>24.07</v>
      </c>
      <c r="F2664" s="93">
        <f>-((D2664-C2664)/D2664)</f>
        <v>0.00813811666212442</v>
      </c>
      <c r="G2664" s="92">
        <f>C2664-D2664</f>
        <v>0.3123409174923353</v>
      </c>
      <c r="H2664" s="91">
        <v>430</v>
      </c>
      <c r="I2664" s="91" t="s">
        <v>330</v>
      </c>
    </row>
    <row r="2665" spans="1:9" ht="12.75">
      <c r="A2665" s="94"/>
      <c r="B2665" s="90" t="s">
        <v>289</v>
      </c>
      <c r="C2665" s="92">
        <f>(8/6)^1.65*E2665</f>
        <v>35.65418037183132</v>
      </c>
      <c r="D2665" s="91">
        <v>36.72</v>
      </c>
      <c r="E2665" s="91">
        <v>22.18</v>
      </c>
      <c r="F2665" s="93">
        <f>-((D2665-C2665)/D2665)</f>
        <v>-0.029025589002414913</v>
      </c>
      <c r="G2665" s="92">
        <f>C2665-D2665</f>
        <v>-1.0658196281686756</v>
      </c>
      <c r="H2665" s="91">
        <v>430</v>
      </c>
      <c r="I2665" s="91" t="s">
        <v>330</v>
      </c>
    </row>
    <row r="2666" spans="1:9" ht="12.75">
      <c r="A2666" s="94"/>
      <c r="B2666" s="90" t="s">
        <v>287</v>
      </c>
      <c r="C2666" s="92">
        <f>(8/6)^1.65*E2666</f>
        <v>38.72449076453637</v>
      </c>
      <c r="D2666" s="91">
        <v>39</v>
      </c>
      <c r="E2666" s="91">
        <v>24.09</v>
      </c>
      <c r="F2666" s="93">
        <f>-((D2666-C2666)/D2666)</f>
        <v>-0.007064339370862318</v>
      </c>
      <c r="G2666" s="92">
        <f>C2666-D2666</f>
        <v>-0.2755092354636304</v>
      </c>
      <c r="H2666" s="91">
        <v>430</v>
      </c>
      <c r="I2666" s="91" t="s">
        <v>330</v>
      </c>
    </row>
    <row r="2667" spans="1:9" ht="12.75">
      <c r="A2667" s="94"/>
      <c r="B2667" s="90" t="s">
        <v>242</v>
      </c>
      <c r="C2667" s="92">
        <f>(8/6)^1.65*E2667</f>
        <v>32.05339750289976</v>
      </c>
      <c r="D2667" s="91">
        <v>32.28</v>
      </c>
      <c r="E2667" s="91">
        <v>19.94</v>
      </c>
      <c r="F2667" s="93">
        <f>-((D2667-C2667)/D2667)</f>
        <v>-0.007019903875472059</v>
      </c>
      <c r="G2667" s="92">
        <f>C2667-D2667</f>
        <v>-0.22660249710023805</v>
      </c>
      <c r="H2667" s="91">
        <v>430</v>
      </c>
      <c r="I2667" s="91" t="s">
        <v>330</v>
      </c>
    </row>
    <row r="2668" spans="1:9" ht="12.75">
      <c r="A2668" s="94"/>
      <c r="B2668" s="90" t="s">
        <v>148</v>
      </c>
      <c r="C2668" s="92">
        <f>(8/6)^1.65*E2668</f>
        <v>25.49482870591726</v>
      </c>
      <c r="D2668" s="91">
        <v>26.79</v>
      </c>
      <c r="E2668" s="91">
        <v>15.86</v>
      </c>
      <c r="F2668" s="93">
        <f>-((D2668-C2668)/D2668)</f>
        <v>-0.0483453263935326</v>
      </c>
      <c r="G2668" s="92">
        <f>C2668-D2668</f>
        <v>-1.2951712940827385</v>
      </c>
      <c r="H2668" s="91">
        <v>430</v>
      </c>
      <c r="I2668" s="91" t="s">
        <v>330</v>
      </c>
    </row>
    <row r="2669" spans="1:9" ht="12.75">
      <c r="A2669" s="94"/>
      <c r="B2669" s="90" t="s">
        <v>243</v>
      </c>
      <c r="C2669" s="92">
        <f>(8/6)^1.65*E2669</f>
        <v>32.262371508685966</v>
      </c>
      <c r="D2669" s="91">
        <v>31.78</v>
      </c>
      <c r="E2669" s="91">
        <v>20.07</v>
      </c>
      <c r="F2669" s="93">
        <f>-((D2669-C2669)/D2669)</f>
        <v>0.015178461569728288</v>
      </c>
      <c r="G2669" s="92">
        <f>C2669-D2669</f>
        <v>0.482371508685965</v>
      </c>
      <c r="H2669" s="91">
        <v>430</v>
      </c>
      <c r="I2669" s="91" t="s">
        <v>330</v>
      </c>
    </row>
    <row r="2670" spans="1:9" ht="12.75">
      <c r="A2670" s="94"/>
      <c r="B2670" s="90" t="s">
        <v>244</v>
      </c>
      <c r="C2670" s="92">
        <f>(8/6)^1.65*E2670</f>
        <v>27.214845522772965</v>
      </c>
      <c r="D2670" s="91">
        <v>28.13</v>
      </c>
      <c r="E2670" s="91">
        <v>16.93</v>
      </c>
      <c r="F2670" s="93">
        <f>-((D2670-C2670)/D2670)</f>
        <v>-0.03253304220501366</v>
      </c>
      <c r="G2670" s="92">
        <f>C2670-D2670</f>
        <v>-0.9151544772270341</v>
      </c>
      <c r="H2670" s="91">
        <v>430</v>
      </c>
      <c r="I2670" s="91" t="s">
        <v>330</v>
      </c>
    </row>
    <row r="2671" spans="1:9" ht="12.75">
      <c r="A2671" s="94"/>
      <c r="B2671" s="90"/>
      <c r="C2671" s="92"/>
      <c r="D2671" s="91"/>
      <c r="E2671" s="91" t="s">
        <v>14</v>
      </c>
      <c r="F2671" s="93">
        <f>AVERAGE(F2661:F2670)</f>
        <v>0.000300782030382607</v>
      </c>
      <c r="G2671" s="92">
        <f>AVERAGE(G2661:G2670)</f>
        <v>0.11134948634686985</v>
      </c>
      <c r="H2671" s="91"/>
      <c r="I2671" s="91"/>
    </row>
    <row r="2672" spans="1:9" ht="12.75">
      <c r="A2672" s="94"/>
      <c r="B2672" s="90"/>
      <c r="C2672" s="92"/>
      <c r="D2672" s="91"/>
      <c r="E2672" s="91"/>
      <c r="F2672" s="93"/>
      <c r="G2672" s="92"/>
      <c r="H2672" s="91"/>
      <c r="I2672" s="91"/>
    </row>
    <row r="2673" spans="1:9" ht="12.75">
      <c r="A2673" s="94" t="s">
        <v>0</v>
      </c>
      <c r="B2673" s="94" t="s">
        <v>1</v>
      </c>
      <c r="C2673" s="95" t="s">
        <v>349</v>
      </c>
      <c r="D2673" s="95" t="s">
        <v>206</v>
      </c>
      <c r="E2673" s="95" t="s">
        <v>194</v>
      </c>
      <c r="F2673" s="95" t="s">
        <v>5</v>
      </c>
      <c r="G2673" s="95" t="s">
        <v>6</v>
      </c>
      <c r="H2673" s="95" t="s">
        <v>7</v>
      </c>
      <c r="I2673" s="95" t="s">
        <v>8</v>
      </c>
    </row>
    <row r="2674" spans="1:9" ht="12.75">
      <c r="A2674" s="94" t="s">
        <v>338</v>
      </c>
      <c r="B2674" s="94" t="s">
        <v>312</v>
      </c>
      <c r="C2674" s="96">
        <f>(8/6)^2*E2674</f>
        <v>47.626666666666665</v>
      </c>
      <c r="D2674" s="95">
        <v>40.01</v>
      </c>
      <c r="E2674" s="95">
        <v>26.79</v>
      </c>
      <c r="F2674" s="97">
        <f>-((D2674-C2674)/D2674)</f>
        <v>0.19036907439806716</v>
      </c>
      <c r="G2674" s="96">
        <f>C2674-D2674</f>
        <v>7.616666666666667</v>
      </c>
      <c r="H2674" s="95">
        <v>430</v>
      </c>
      <c r="I2674" s="95" t="s">
        <v>330</v>
      </c>
    </row>
    <row r="2675" spans="1:9" ht="12.75">
      <c r="A2675" s="94"/>
      <c r="B2675" s="94" t="s">
        <v>300</v>
      </c>
      <c r="C2675" s="96">
        <f>(8/6)^2*E2675</f>
        <v>43.46666666666666</v>
      </c>
      <c r="D2675" s="95">
        <v>37.28</v>
      </c>
      <c r="E2675" s="95">
        <v>24.45</v>
      </c>
      <c r="F2675" s="97">
        <f>-((D2675-C2675)/D2675)</f>
        <v>0.1659513590844061</v>
      </c>
      <c r="G2675" s="96">
        <f>C2675-D2675</f>
        <v>6.18666666666666</v>
      </c>
      <c r="H2675" s="95">
        <v>430</v>
      </c>
      <c r="I2675" s="95" t="s">
        <v>330</v>
      </c>
    </row>
    <row r="2676" spans="1:9" ht="12.75">
      <c r="A2676" s="94"/>
      <c r="B2676" s="94" t="s">
        <v>288</v>
      </c>
      <c r="C2676" s="96">
        <f>(8/6)^2*E2676</f>
        <v>39.182222222222215</v>
      </c>
      <c r="D2676" s="95">
        <v>36.41</v>
      </c>
      <c r="E2676" s="95">
        <v>22.04</v>
      </c>
      <c r="F2676" s="97">
        <f>-((D2676-C2676)/D2676)</f>
        <v>0.07613903384296124</v>
      </c>
      <c r="G2676" s="96">
        <f>C2676-D2676</f>
        <v>2.7722222222222186</v>
      </c>
      <c r="H2676" s="95">
        <v>430</v>
      </c>
      <c r="I2676" s="95" t="s">
        <v>330</v>
      </c>
    </row>
    <row r="2677" spans="1:9" ht="12.75">
      <c r="A2677" s="94"/>
      <c r="B2677" s="94" t="s">
        <v>286</v>
      </c>
      <c r="C2677" s="96">
        <f>(8/6)^2*E2677</f>
        <v>42.79111111111111</v>
      </c>
      <c r="D2677" s="95">
        <v>38.38</v>
      </c>
      <c r="E2677" s="95">
        <v>24.07</v>
      </c>
      <c r="F2677" s="97">
        <f>-((D2677-C2677)/D2677)</f>
        <v>0.11493254588616737</v>
      </c>
      <c r="G2677" s="96">
        <f>C2677-D2677</f>
        <v>4.411111111111104</v>
      </c>
      <c r="H2677" s="95">
        <v>430</v>
      </c>
      <c r="I2677" s="95" t="s">
        <v>330</v>
      </c>
    </row>
    <row r="2678" spans="1:9" ht="12.75">
      <c r="A2678" s="94"/>
      <c r="B2678" s="94" t="s">
        <v>289</v>
      </c>
      <c r="C2678" s="96">
        <f>(8/6)^2*E2678</f>
        <v>39.43111111111111</v>
      </c>
      <c r="D2678" s="95">
        <v>36.72</v>
      </c>
      <c r="E2678" s="95">
        <v>22.18</v>
      </c>
      <c r="F2678" s="97">
        <f>-((D2678-C2678)/D2678)</f>
        <v>0.07383200193657703</v>
      </c>
      <c r="G2678" s="96">
        <f>C2678-D2678</f>
        <v>2.7111111111111086</v>
      </c>
      <c r="H2678" s="95">
        <v>430</v>
      </c>
      <c r="I2678" s="95" t="s">
        <v>330</v>
      </c>
    </row>
    <row r="2679" spans="1:9" ht="12.75">
      <c r="A2679" s="94"/>
      <c r="B2679" s="94" t="s">
        <v>287</v>
      </c>
      <c r="C2679" s="96">
        <f>(8/6)^2*E2679</f>
        <v>42.82666666666666</v>
      </c>
      <c r="D2679" s="95">
        <v>39</v>
      </c>
      <c r="E2679" s="95">
        <v>24.09</v>
      </c>
      <c r="F2679" s="97">
        <f>-((D2679-C2679)/D2679)</f>
        <v>0.09811965811965798</v>
      </c>
      <c r="G2679" s="96">
        <f>C2679-D2679</f>
        <v>3.826666666666661</v>
      </c>
      <c r="H2679" s="95">
        <v>430</v>
      </c>
      <c r="I2679" s="95" t="s">
        <v>330</v>
      </c>
    </row>
    <row r="2680" spans="1:9" ht="12.75">
      <c r="A2680" s="94"/>
      <c r="B2680" s="94" t="s">
        <v>242</v>
      </c>
      <c r="C2680" s="96">
        <f>(8/6)^2*E2680</f>
        <v>35.44888888888889</v>
      </c>
      <c r="D2680" s="95">
        <v>32.28</v>
      </c>
      <c r="E2680" s="95">
        <v>19.94</v>
      </c>
      <c r="F2680" s="97">
        <f>-((D2680-C2680)/D2680)</f>
        <v>0.09816880077103118</v>
      </c>
      <c r="G2680" s="96">
        <f>C2680-D2680</f>
        <v>3.168888888888887</v>
      </c>
      <c r="H2680" s="95">
        <v>430</v>
      </c>
      <c r="I2680" s="95" t="s">
        <v>330</v>
      </c>
    </row>
    <row r="2681" spans="1:9" ht="12.75">
      <c r="A2681" s="94"/>
      <c r="B2681" s="94" t="s">
        <v>148</v>
      </c>
      <c r="C2681" s="96">
        <f>(8/6)^2*E2681</f>
        <v>28.195555555555554</v>
      </c>
      <c r="D2681" s="95">
        <v>26.79</v>
      </c>
      <c r="E2681" s="95">
        <v>15.86</v>
      </c>
      <c r="F2681" s="97">
        <f>-((D2681-C2681)/D2681)</f>
        <v>0.0524656795653436</v>
      </c>
      <c r="G2681" s="96">
        <f>C2681-D2681</f>
        <v>1.405555555555555</v>
      </c>
      <c r="H2681" s="95">
        <v>430</v>
      </c>
      <c r="I2681" s="95" t="s">
        <v>330</v>
      </c>
    </row>
    <row r="2682" spans="1:9" ht="12.75">
      <c r="A2682" s="94"/>
      <c r="B2682" s="94" t="s">
        <v>243</v>
      </c>
      <c r="C2682" s="96">
        <f>(8/6)^2*E2682</f>
        <v>35.68</v>
      </c>
      <c r="D2682" s="95">
        <v>31.78</v>
      </c>
      <c r="E2682" s="95">
        <v>20.07</v>
      </c>
      <c r="F2682" s="97">
        <f>-((D2682-C2682)/D2682)</f>
        <v>0.12271869100062928</v>
      </c>
      <c r="G2682" s="96">
        <f>C2682-D2682</f>
        <v>3.8999999999999986</v>
      </c>
      <c r="H2682" s="95">
        <v>430</v>
      </c>
      <c r="I2682" s="95" t="s">
        <v>330</v>
      </c>
    </row>
    <row r="2683" spans="1:9" ht="12.75">
      <c r="A2683" s="94"/>
      <c r="B2683" s="94" t="s">
        <v>244</v>
      </c>
      <c r="C2683" s="96">
        <f>(8/6)^2*E2683</f>
        <v>30.097777777777775</v>
      </c>
      <c r="D2683" s="95">
        <v>28.13</v>
      </c>
      <c r="E2683" s="95">
        <v>16.93</v>
      </c>
      <c r="F2683" s="97">
        <f>-((D2683-C2683)/D2683)</f>
        <v>0.06995299601058572</v>
      </c>
      <c r="G2683" s="96">
        <f>C2683-D2683</f>
        <v>1.9677777777777763</v>
      </c>
      <c r="H2683" s="95">
        <v>430</v>
      </c>
      <c r="I2683" s="95" t="s">
        <v>330</v>
      </c>
    </row>
    <row r="2684" spans="1:9" ht="12.75">
      <c r="A2684" s="94"/>
      <c r="B2684" s="94"/>
      <c r="C2684" s="96"/>
      <c r="D2684" s="95"/>
      <c r="E2684" s="95" t="s">
        <v>14</v>
      </c>
      <c r="F2684" s="97">
        <f>AVERAGE(F2674:F2683)</f>
        <v>0.10626498406154265</v>
      </c>
      <c r="G2684" s="96">
        <f>AVERAGE(G2674:G2683)</f>
        <v>3.796666666666664</v>
      </c>
      <c r="H2684" s="95"/>
      <c r="I2684" s="95"/>
    </row>
    <row r="2685" spans="1:9" ht="12.75">
      <c r="A2685" s="5"/>
      <c r="B2685" s="83"/>
      <c r="C2685" s="85"/>
      <c r="D2685" s="84"/>
      <c r="E2685" s="84"/>
      <c r="F2685" s="86"/>
      <c r="G2685" s="85"/>
      <c r="H2685" s="84"/>
      <c r="I2685" s="74"/>
    </row>
    <row r="2686" spans="1:9" ht="12.75">
      <c r="A2686" s="69" t="s">
        <v>0</v>
      </c>
      <c r="B2686" s="69" t="s">
        <v>1</v>
      </c>
      <c r="C2686" s="70" t="s">
        <v>350</v>
      </c>
      <c r="D2686" s="70" t="s">
        <v>218</v>
      </c>
      <c r="E2686" s="70" t="s">
        <v>73</v>
      </c>
      <c r="F2686" s="70" t="s">
        <v>5</v>
      </c>
      <c r="G2686" s="70" t="s">
        <v>6</v>
      </c>
      <c r="H2686" s="70" t="s">
        <v>7</v>
      </c>
      <c r="I2686" s="70" t="s">
        <v>8</v>
      </c>
    </row>
    <row r="2687" spans="1:9" ht="12.75">
      <c r="A2687" s="69" t="s">
        <v>351</v>
      </c>
      <c r="B2687" s="69" t="s">
        <v>334</v>
      </c>
      <c r="C2687" s="71">
        <f>(5/4)^1.79*E2687</f>
        <v>107.96114223400131</v>
      </c>
      <c r="D2687" s="70">
        <v>103.15</v>
      </c>
      <c r="E2687" s="70">
        <v>72.41</v>
      </c>
      <c r="F2687" s="72">
        <f>-((D2687-C2687)/D2687)</f>
        <v>0.04664219325255753</v>
      </c>
      <c r="G2687" s="71">
        <f>C2687-D2687</f>
        <v>4.811142234001309</v>
      </c>
      <c r="H2687" s="70">
        <v>630</v>
      </c>
      <c r="I2687" s="70" t="s">
        <v>352</v>
      </c>
    </row>
    <row r="2688" spans="2:9" ht="12.75">
      <c r="B2688" s="69" t="s">
        <v>316</v>
      </c>
      <c r="C2688" s="71">
        <f>(5/4)^1.79*E2688</f>
        <v>91.63502004835964</v>
      </c>
      <c r="D2688" s="70">
        <v>86.58</v>
      </c>
      <c r="E2688" s="70">
        <v>61.46</v>
      </c>
      <c r="F2688" s="72">
        <f>-((D2688-C2688)/D2688)</f>
        <v>0.058385539944093755</v>
      </c>
      <c r="G2688" s="71">
        <f>C2688-D2688</f>
        <v>5.055020048359637</v>
      </c>
      <c r="H2688" s="70">
        <v>630</v>
      </c>
      <c r="I2688" s="70" t="s">
        <v>352</v>
      </c>
    </row>
    <row r="2689" spans="2:9" ht="12.75">
      <c r="B2689" s="69" t="s">
        <v>312</v>
      </c>
      <c r="C2689" s="71">
        <f>(5/4)^1.79*E2689</f>
        <v>78.23119918544468</v>
      </c>
      <c r="D2689" s="70">
        <v>74.33</v>
      </c>
      <c r="E2689" s="70">
        <v>52.47</v>
      </c>
      <c r="F2689" s="72">
        <f>-((D2689-C2689)/D2689)</f>
        <v>0.052484853833508434</v>
      </c>
      <c r="G2689" s="71">
        <f>C2689-D2689</f>
        <v>3.901199185444682</v>
      </c>
      <c r="H2689" s="70">
        <v>630</v>
      </c>
      <c r="I2689" s="70" t="s">
        <v>352</v>
      </c>
    </row>
    <row r="2690" spans="2:9" ht="12.75">
      <c r="B2690" s="69" t="s">
        <v>300</v>
      </c>
      <c r="C2690" s="71">
        <f>(5/4)^1.79*E2690</f>
        <v>70.67198096798319</v>
      </c>
      <c r="D2690" s="70">
        <v>66.84</v>
      </c>
      <c r="E2690" s="70">
        <v>47.4</v>
      </c>
      <c r="F2690" s="72">
        <f>-((D2690-C2690)/D2690)</f>
        <v>0.05733065481722299</v>
      </c>
      <c r="G2690" s="71">
        <f>C2690-D2690</f>
        <v>3.831980967983185</v>
      </c>
      <c r="H2690" s="70">
        <v>630</v>
      </c>
      <c r="I2690" s="70" t="s">
        <v>352</v>
      </c>
    </row>
    <row r="2691" spans="2:9" ht="12.75">
      <c r="B2691" s="69" t="s">
        <v>299</v>
      </c>
      <c r="C2691" s="71">
        <f>(5/4)^1.79*E2691</f>
        <v>46.90591816988926</v>
      </c>
      <c r="D2691" s="70">
        <v>47.63</v>
      </c>
      <c r="E2691" s="70">
        <v>31.46</v>
      </c>
      <c r="F2691" s="72">
        <f>-((D2691-C2691)/D2691)</f>
        <v>-0.015202221921283666</v>
      </c>
      <c r="G2691" s="71">
        <f>C2691-D2691</f>
        <v>-0.724081830110741</v>
      </c>
      <c r="H2691" s="70">
        <v>630</v>
      </c>
      <c r="I2691" s="70" t="s">
        <v>352</v>
      </c>
    </row>
    <row r="2692" spans="2:9" ht="12.75">
      <c r="B2692" s="69" t="s">
        <v>317</v>
      </c>
      <c r="C2692" s="71">
        <f>(5/4)^1.79*E2692</f>
        <v>90.59134100452866</v>
      </c>
      <c r="D2692" s="70">
        <v>92.29</v>
      </c>
      <c r="E2692" s="70">
        <v>60.76</v>
      </c>
      <c r="F2692" s="72">
        <f>-((D2692-C2692)/D2692)</f>
        <v>-0.0184056668704231</v>
      </c>
      <c r="G2692" s="71">
        <f>C2692-D2692</f>
        <v>-1.698658995471348</v>
      </c>
      <c r="H2692" s="70">
        <v>630</v>
      </c>
      <c r="I2692" s="70" t="s">
        <v>352</v>
      </c>
    </row>
    <row r="2693" spans="2:9" ht="12.75">
      <c r="B2693" s="69" t="s">
        <v>283</v>
      </c>
      <c r="C2693" s="71">
        <f>(5/4)^1.79*E2693</f>
        <v>84.46345404717822</v>
      </c>
      <c r="D2693" s="70">
        <v>88.32</v>
      </c>
      <c r="E2693" s="70">
        <v>56.65</v>
      </c>
      <c r="F2693" s="72">
        <f>-((D2693-C2693)/D2693)</f>
        <v>-0.043665601820898736</v>
      </c>
      <c r="G2693" s="71">
        <f>C2693-D2693</f>
        <v>-3.856545952821776</v>
      </c>
      <c r="H2693" s="70">
        <v>630</v>
      </c>
      <c r="I2693" s="70" t="s">
        <v>352</v>
      </c>
    </row>
    <row r="2694" spans="2:9" ht="12.75">
      <c r="B2694" s="69" t="s">
        <v>288</v>
      </c>
      <c r="C2694" s="71">
        <f>(5/4)^1.79*E2694</f>
        <v>63.38113736179251</v>
      </c>
      <c r="D2694" s="70">
        <v>67.11</v>
      </c>
      <c r="E2694" s="70">
        <v>42.51</v>
      </c>
      <c r="F2694" s="72">
        <f>-((D2694-C2694)/D2694)</f>
        <v>-0.05556344267929501</v>
      </c>
      <c r="G2694" s="71">
        <f>C2694-D2694</f>
        <v>-3.728862638207488</v>
      </c>
      <c r="H2694" s="70">
        <v>630</v>
      </c>
      <c r="I2694" s="70" t="s">
        <v>352</v>
      </c>
    </row>
    <row r="2695" spans="2:9" ht="12.75">
      <c r="B2695" s="69" t="s">
        <v>318</v>
      </c>
      <c r="C2695" s="71">
        <f>(5/4)^1.79*E2695</f>
        <v>122.85593315953196</v>
      </c>
      <c r="D2695" s="70">
        <v>124.04</v>
      </c>
      <c r="E2695" s="70">
        <v>82.4</v>
      </c>
      <c r="F2695" s="72">
        <f>-((D2695-C2695)/D2695)</f>
        <v>-0.009545846827378655</v>
      </c>
      <c r="G2695" s="71">
        <f>C2695-D2695</f>
        <v>-1.1840668404680486</v>
      </c>
      <c r="H2695" s="70">
        <v>630</v>
      </c>
      <c r="I2695" s="70" t="s">
        <v>352</v>
      </c>
    </row>
    <row r="2696" spans="2:9" ht="12.75">
      <c r="B2696" s="69" t="s">
        <v>319</v>
      </c>
      <c r="C2696" s="71">
        <f>(5/4)^1.79*E2696</f>
        <v>87.296297166148</v>
      </c>
      <c r="D2696" s="70">
        <v>87.1</v>
      </c>
      <c r="E2696" s="70">
        <v>58.55</v>
      </c>
      <c r="F2696" s="72">
        <f>-((D2696-C2696)/D2696)</f>
        <v>0.002253698807669343</v>
      </c>
      <c r="G2696" s="71">
        <f>C2696-D2696</f>
        <v>0.19629716614799975</v>
      </c>
      <c r="H2696" s="70">
        <v>630</v>
      </c>
      <c r="I2696" s="70" t="s">
        <v>352</v>
      </c>
    </row>
    <row r="2697" spans="2:9" ht="12.75">
      <c r="B2697" s="69" t="s">
        <v>320</v>
      </c>
      <c r="C2697" s="71">
        <f>(5/4)^1.79*E2697</f>
        <v>84.44854434655205</v>
      </c>
      <c r="D2697" s="70">
        <v>86.41</v>
      </c>
      <c r="E2697" s="70">
        <v>56.64</v>
      </c>
      <c r="F2697" s="72">
        <f>-((D2697-C2697)/D2697)</f>
        <v>-0.022699405779978497</v>
      </c>
      <c r="G2697" s="71">
        <f>C2697-D2697</f>
        <v>-1.961455653447942</v>
      </c>
      <c r="H2697" s="70">
        <v>630</v>
      </c>
      <c r="I2697" s="70" t="s">
        <v>352</v>
      </c>
    </row>
    <row r="2698" spans="2:9" ht="12.75">
      <c r="B2698" s="69" t="s">
        <v>285</v>
      </c>
      <c r="C2698" s="71">
        <f>(5/4)^1.79*E2698</f>
        <v>95.61591011554349</v>
      </c>
      <c r="D2698" s="70">
        <v>95.36</v>
      </c>
      <c r="E2698" s="70">
        <v>64.13</v>
      </c>
      <c r="F2698" s="72">
        <f>-((D2698-C2698)/D2698)</f>
        <v>0.0026836211780986363</v>
      </c>
      <c r="G2698" s="71">
        <f>C2698-D2698</f>
        <v>0.25591011554348597</v>
      </c>
      <c r="H2698" s="70">
        <v>630</v>
      </c>
      <c r="I2698" s="70" t="s">
        <v>352</v>
      </c>
    </row>
    <row r="2699" spans="2:9" ht="12.75">
      <c r="B2699" s="69" t="s">
        <v>289</v>
      </c>
      <c r="C2699" s="71">
        <f>(5/4)^1.79*E2699</f>
        <v>63.947705985586474</v>
      </c>
      <c r="D2699" s="70">
        <v>64.97</v>
      </c>
      <c r="E2699" s="70">
        <v>42.89</v>
      </c>
      <c r="F2699" s="72">
        <f>-((D2699-C2699)/D2699)</f>
        <v>-0.015734862465961598</v>
      </c>
      <c r="G2699" s="71">
        <f>C2699-D2699</f>
        <v>-1.022294014413525</v>
      </c>
      <c r="H2699" s="70">
        <v>630</v>
      </c>
      <c r="I2699" s="70" t="s">
        <v>352</v>
      </c>
    </row>
    <row r="2700" spans="2:9" ht="12.75">
      <c r="B2700" s="69" t="s">
        <v>308</v>
      </c>
      <c r="C2700" s="71">
        <f>(5/4)^1.79*E2700</f>
        <v>78.97668421675252</v>
      </c>
      <c r="D2700" s="70">
        <v>76.72</v>
      </c>
      <c r="E2700" s="70">
        <v>52.97</v>
      </c>
      <c r="F2700" s="72">
        <f>-((D2700-C2700)/D2700)</f>
        <v>0.029414549227743978</v>
      </c>
      <c r="G2700" s="71">
        <f>C2700-D2700</f>
        <v>2.256684216752518</v>
      </c>
      <c r="H2700" s="70">
        <v>630</v>
      </c>
      <c r="I2700" s="70" t="s">
        <v>352</v>
      </c>
    </row>
    <row r="2701" spans="2:9" ht="12.75">
      <c r="B2701" s="69" t="s">
        <v>287</v>
      </c>
      <c r="C2701" s="71">
        <f>(5/4)^1.79*E2701</f>
        <v>70.53779366234778</v>
      </c>
      <c r="D2701" s="70">
        <v>72.38</v>
      </c>
      <c r="E2701" s="70">
        <v>47.31</v>
      </c>
      <c r="F2701" s="72">
        <f>-((D2701-C2701)/D2701)</f>
        <v>-0.025451869821113773</v>
      </c>
      <c r="G2701" s="71">
        <f>C2701-D2701</f>
        <v>-1.8422063376522146</v>
      </c>
      <c r="H2701" s="70">
        <v>630</v>
      </c>
      <c r="I2701" s="70" t="s">
        <v>352</v>
      </c>
    </row>
    <row r="2702" spans="2:9" ht="12.75">
      <c r="B2702" s="69" t="s">
        <v>242</v>
      </c>
      <c r="C2702" s="71">
        <f>(5/4)^1.79*E2702</f>
        <v>58.29692944827305</v>
      </c>
      <c r="D2702" s="70">
        <v>59.26</v>
      </c>
      <c r="E2702" s="70">
        <v>39.1</v>
      </c>
      <c r="F2702" s="72">
        <f>-((D2702-C2702)/D2702)</f>
        <v>-0.0162516124152371</v>
      </c>
      <c r="G2702" s="71">
        <f>C2702-D2702</f>
        <v>-0.9630705517269504</v>
      </c>
      <c r="H2702" s="70">
        <v>630</v>
      </c>
      <c r="I2702" s="70" t="s">
        <v>352</v>
      </c>
    </row>
    <row r="2703" spans="2:9" ht="12.75">
      <c r="B2703" s="69"/>
      <c r="C2703" s="71"/>
      <c r="D2703" s="70"/>
      <c r="E2703" s="70" t="s">
        <v>14</v>
      </c>
      <c r="F2703" s="72">
        <f>AVERAGE(F2687:F2702)</f>
        <v>0.0016671612787077822</v>
      </c>
      <c r="G2703" s="71">
        <f>AVERAGE(G2687:G2702)</f>
        <v>0.20793694499454896</v>
      </c>
      <c r="H2703" s="70"/>
      <c r="I2703" s="70"/>
    </row>
    <row r="2704" spans="2:9" ht="12.75">
      <c r="B2704" s="69"/>
      <c r="C2704" s="71"/>
      <c r="D2704" s="70"/>
      <c r="E2704" s="70"/>
      <c r="F2704" s="72"/>
      <c r="G2704" s="71"/>
      <c r="H2704" s="70"/>
      <c r="I2704" s="70"/>
    </row>
    <row r="2705" spans="1:9" ht="12.75">
      <c r="A2705" s="73" t="s">
        <v>0</v>
      </c>
      <c r="B2705" s="73" t="s">
        <v>1</v>
      </c>
      <c r="C2705" s="74" t="s">
        <v>219</v>
      </c>
      <c r="D2705" s="74" t="s">
        <v>218</v>
      </c>
      <c r="E2705" s="74" t="s">
        <v>73</v>
      </c>
      <c r="F2705" s="74" t="s">
        <v>5</v>
      </c>
      <c r="G2705" s="74" t="s">
        <v>6</v>
      </c>
      <c r="H2705" s="74" t="s">
        <v>7</v>
      </c>
      <c r="I2705" s="74" t="s">
        <v>8</v>
      </c>
    </row>
    <row r="2706" spans="1:9" ht="12.75">
      <c r="A2706" s="73" t="s">
        <v>351</v>
      </c>
      <c r="B2706" s="73" t="s">
        <v>334</v>
      </c>
      <c r="C2706" s="75">
        <f>(5/4)^2*E2706</f>
        <v>113.140625</v>
      </c>
      <c r="D2706" s="74">
        <v>103.15</v>
      </c>
      <c r="E2706" s="74">
        <v>72.41</v>
      </c>
      <c r="F2706" s="76">
        <f>-((D2706-C2706)/D2706)</f>
        <v>0.09685530780416862</v>
      </c>
      <c r="G2706" s="75">
        <f>C2706-D2706</f>
        <v>9.990624999999994</v>
      </c>
      <c r="H2706" s="74">
        <v>630</v>
      </c>
      <c r="I2706" s="74" t="s">
        <v>352</v>
      </c>
    </row>
    <row r="2707" spans="1:9" ht="12.75">
      <c r="A2707" s="5"/>
      <c r="B2707" s="73" t="s">
        <v>316</v>
      </c>
      <c r="C2707" s="75">
        <f>(5/4)^2*E2707</f>
        <v>96.03125</v>
      </c>
      <c r="D2707" s="74">
        <v>86.58</v>
      </c>
      <c r="E2707" s="74">
        <v>61.46</v>
      </c>
      <c r="F2707" s="76">
        <f>-((D2707-C2707)/D2707)</f>
        <v>0.10916204666204668</v>
      </c>
      <c r="G2707" s="75">
        <f>C2707-D2707</f>
        <v>9.451250000000002</v>
      </c>
      <c r="H2707" s="74">
        <v>630</v>
      </c>
      <c r="I2707" s="74" t="s">
        <v>352</v>
      </c>
    </row>
    <row r="2708" spans="1:9" ht="12.75">
      <c r="A2708" s="5"/>
      <c r="B2708" s="73" t="s">
        <v>312</v>
      </c>
      <c r="C2708" s="75">
        <f>(5/4)^2*E2708</f>
        <v>81.984375</v>
      </c>
      <c r="D2708" s="74">
        <v>74.33</v>
      </c>
      <c r="E2708" s="74">
        <v>52.47</v>
      </c>
      <c r="F2708" s="76">
        <f>-((D2708-C2708)/D2708)</f>
        <v>0.10297827256827663</v>
      </c>
      <c r="G2708" s="75">
        <f>C2708-D2708</f>
        <v>7.654375000000002</v>
      </c>
      <c r="H2708" s="74">
        <v>630</v>
      </c>
      <c r="I2708" s="74" t="s">
        <v>352</v>
      </c>
    </row>
    <row r="2709" spans="1:9" ht="12.75">
      <c r="A2709" s="5"/>
      <c r="B2709" s="73" t="s">
        <v>300</v>
      </c>
      <c r="C2709" s="75">
        <f>(5/4)^2*E2709</f>
        <v>74.0625</v>
      </c>
      <c r="D2709" s="74">
        <v>66.84</v>
      </c>
      <c r="E2709" s="74">
        <v>47.4</v>
      </c>
      <c r="F2709" s="76">
        <f>-((D2709-C2709)/D2709)</f>
        <v>0.10805655296229796</v>
      </c>
      <c r="G2709" s="75">
        <f>C2709-D2709</f>
        <v>7.222499999999997</v>
      </c>
      <c r="H2709" s="74">
        <v>630</v>
      </c>
      <c r="I2709" s="74" t="s">
        <v>352</v>
      </c>
    </row>
    <row r="2710" spans="1:9" ht="12.75">
      <c r="A2710" s="5"/>
      <c r="B2710" s="73" t="s">
        <v>299</v>
      </c>
      <c r="C2710" s="75">
        <f>(5/4)^2*E2710</f>
        <v>49.15625</v>
      </c>
      <c r="D2710" s="74">
        <v>47.63</v>
      </c>
      <c r="E2710" s="74">
        <v>31.46</v>
      </c>
      <c r="F2710" s="76">
        <f>-((D2710-C2710)/D2710)</f>
        <v>0.03204387990762119</v>
      </c>
      <c r="G2710" s="75">
        <f>C2710-D2710</f>
        <v>1.5262499999999974</v>
      </c>
      <c r="H2710" s="74">
        <v>630</v>
      </c>
      <c r="I2710" s="74" t="s">
        <v>352</v>
      </c>
    </row>
    <row r="2711" spans="1:9" ht="12.75">
      <c r="A2711" s="5"/>
      <c r="B2711" s="73" t="s">
        <v>317</v>
      </c>
      <c r="C2711" s="75">
        <f>(5/4)^2*E2711</f>
        <v>94.9375</v>
      </c>
      <c r="D2711" s="74">
        <v>92.29</v>
      </c>
      <c r="E2711" s="74">
        <v>60.76</v>
      </c>
      <c r="F2711" s="76">
        <f>-((D2711-C2711)/D2711)</f>
        <v>0.028686748293422836</v>
      </c>
      <c r="G2711" s="75">
        <f>C2711-D2711</f>
        <v>2.6474999999999937</v>
      </c>
      <c r="H2711" s="74">
        <v>630</v>
      </c>
      <c r="I2711" s="74" t="s">
        <v>352</v>
      </c>
    </row>
    <row r="2712" spans="1:9" ht="12.75">
      <c r="A2712" s="5"/>
      <c r="B2712" s="73" t="s">
        <v>283</v>
      </c>
      <c r="C2712" s="75">
        <f>(5/4)^2*E2712</f>
        <v>88.515625</v>
      </c>
      <c r="D2712" s="74">
        <v>88.32</v>
      </c>
      <c r="E2712" s="74">
        <v>56.65</v>
      </c>
      <c r="F2712" s="76">
        <f>-((D2712-C2712)/D2712)</f>
        <v>0.0022149569746377587</v>
      </c>
      <c r="G2712" s="75">
        <f>C2712-D2712</f>
        <v>0.19562500000000682</v>
      </c>
      <c r="H2712" s="74">
        <v>630</v>
      </c>
      <c r="I2712" s="74" t="s">
        <v>352</v>
      </c>
    </row>
    <row r="2713" spans="1:9" ht="12.75">
      <c r="A2713" s="5"/>
      <c r="B2713" s="73" t="s">
        <v>288</v>
      </c>
      <c r="C2713" s="75">
        <f>(5/4)^2*E2713</f>
        <v>66.421875</v>
      </c>
      <c r="D2713" s="74">
        <v>67.11</v>
      </c>
      <c r="E2713" s="74">
        <v>42.51</v>
      </c>
      <c r="F2713" s="76">
        <f>-((D2713-C2713)/D2713)</f>
        <v>-0.010253687974966464</v>
      </c>
      <c r="G2713" s="75">
        <f>C2713-D2713</f>
        <v>-0.6881249999999994</v>
      </c>
      <c r="H2713" s="74">
        <v>630</v>
      </c>
      <c r="I2713" s="74" t="s">
        <v>352</v>
      </c>
    </row>
    <row r="2714" spans="1:9" ht="12.75">
      <c r="A2714" s="5"/>
      <c r="B2714" s="73" t="s">
        <v>318</v>
      </c>
      <c r="C2714" s="75">
        <f>(5/4)^2*E2714</f>
        <v>128.75</v>
      </c>
      <c r="D2714" s="74">
        <v>124.04</v>
      </c>
      <c r="E2714" s="74">
        <v>82.4</v>
      </c>
      <c r="F2714" s="76">
        <f>-((D2714-C2714)/D2714)</f>
        <v>0.03797162205740079</v>
      </c>
      <c r="G2714" s="75">
        <f>C2714-D2714</f>
        <v>4.709999999999994</v>
      </c>
      <c r="H2714" s="74">
        <v>630</v>
      </c>
      <c r="I2714" s="74" t="s">
        <v>352</v>
      </c>
    </row>
    <row r="2715" spans="1:9" ht="12.75">
      <c r="A2715" s="5"/>
      <c r="B2715" s="73" t="s">
        <v>319</v>
      </c>
      <c r="C2715" s="75">
        <f>(5/4)^2*E2715</f>
        <v>91.484375</v>
      </c>
      <c r="D2715" s="74">
        <v>87.1</v>
      </c>
      <c r="E2715" s="74">
        <v>58.55</v>
      </c>
      <c r="F2715" s="76">
        <f>-((D2715-C2715)/D2715)</f>
        <v>0.0503372560275546</v>
      </c>
      <c r="G2715" s="75">
        <f>C2715-D2715</f>
        <v>4.384375000000006</v>
      </c>
      <c r="H2715" s="74">
        <v>630</v>
      </c>
      <c r="I2715" s="74" t="s">
        <v>352</v>
      </c>
    </row>
    <row r="2716" spans="1:9" ht="12.75">
      <c r="A2716" s="5"/>
      <c r="B2716" s="73" t="s">
        <v>320</v>
      </c>
      <c r="C2716" s="75">
        <f>(5/4)^2*E2716</f>
        <v>88.5</v>
      </c>
      <c r="D2716" s="74">
        <v>86.41</v>
      </c>
      <c r="E2716" s="74">
        <v>56.64</v>
      </c>
      <c r="F2716" s="76">
        <f>-((D2716-C2716)/D2716)</f>
        <v>0.024187015391737107</v>
      </c>
      <c r="G2716" s="75">
        <f>C2716-D2716</f>
        <v>2.0900000000000034</v>
      </c>
      <c r="H2716" s="74">
        <v>630</v>
      </c>
      <c r="I2716" s="74" t="s">
        <v>352</v>
      </c>
    </row>
    <row r="2717" spans="1:9" ht="12.75">
      <c r="A2717" s="5"/>
      <c r="B2717" s="73" t="s">
        <v>285</v>
      </c>
      <c r="C2717" s="75">
        <f>(5/4)^2*E2717</f>
        <v>100.203125</v>
      </c>
      <c r="D2717" s="74">
        <v>95.36</v>
      </c>
      <c r="E2717" s="74">
        <v>64.13</v>
      </c>
      <c r="F2717" s="76">
        <f>-((D2717-C2717)/D2717)</f>
        <v>0.050787804110738265</v>
      </c>
      <c r="G2717" s="75">
        <f>C2717-D2717</f>
        <v>4.843125000000001</v>
      </c>
      <c r="H2717" s="74">
        <v>630</v>
      </c>
      <c r="I2717" s="74" t="s">
        <v>352</v>
      </c>
    </row>
    <row r="2718" spans="1:9" ht="12.75">
      <c r="A2718" s="5"/>
      <c r="B2718" s="73" t="s">
        <v>289</v>
      </c>
      <c r="C2718" s="75">
        <f>(5/4)^2*E2718</f>
        <v>67.015625</v>
      </c>
      <c r="D2718" s="74">
        <v>64.97</v>
      </c>
      <c r="E2718" s="74">
        <v>42.89</v>
      </c>
      <c r="F2718" s="76">
        <f>-((D2718-C2718)/D2718)</f>
        <v>0.03148568570109283</v>
      </c>
      <c r="G2718" s="75">
        <f>C2718-D2718</f>
        <v>2.045625000000001</v>
      </c>
      <c r="H2718" s="74">
        <v>630</v>
      </c>
      <c r="I2718" s="74" t="s">
        <v>352</v>
      </c>
    </row>
    <row r="2719" spans="1:9" ht="12.75">
      <c r="A2719" s="5"/>
      <c r="B2719" s="73" t="s">
        <v>308</v>
      </c>
      <c r="C2719" s="75">
        <f>(5/4)^2*E2719</f>
        <v>82.765625</v>
      </c>
      <c r="D2719" s="74">
        <v>76.72</v>
      </c>
      <c r="E2719" s="74">
        <v>52.97</v>
      </c>
      <c r="F2719" s="76">
        <f>-((D2719-C2719)/D2719)</f>
        <v>0.07880116006256518</v>
      </c>
      <c r="G2719" s="75">
        <f>C2719-D2719</f>
        <v>6.045625000000001</v>
      </c>
      <c r="H2719" s="74">
        <v>630</v>
      </c>
      <c r="I2719" s="74" t="s">
        <v>352</v>
      </c>
    </row>
    <row r="2720" spans="1:9" ht="12.75">
      <c r="A2720" s="5"/>
      <c r="B2720" s="73" t="s">
        <v>287</v>
      </c>
      <c r="C2720" s="75">
        <f>(5/4)^2*E2720</f>
        <v>73.921875</v>
      </c>
      <c r="D2720" s="74">
        <v>72.38</v>
      </c>
      <c r="E2720" s="74">
        <v>47.31</v>
      </c>
      <c r="F2720" s="76">
        <f>-((D2720-C2720)/D2720)</f>
        <v>0.02130250069079863</v>
      </c>
      <c r="G2720" s="75">
        <f>C2720-D2720</f>
        <v>1.5418750000000045</v>
      </c>
      <c r="H2720" s="74">
        <v>630</v>
      </c>
      <c r="I2720" s="74" t="s">
        <v>352</v>
      </c>
    </row>
    <row r="2721" spans="1:9" ht="12.75">
      <c r="A2721" s="5"/>
      <c r="B2721" s="73" t="s">
        <v>242</v>
      </c>
      <c r="C2721" s="75">
        <f>(5/4)^2*E2721</f>
        <v>61.09375</v>
      </c>
      <c r="D2721" s="74">
        <v>59.26</v>
      </c>
      <c r="E2721" s="74">
        <v>39.1</v>
      </c>
      <c r="F2721" s="76">
        <f>-((D2721-C2721)/D2721)</f>
        <v>0.030944144448194433</v>
      </c>
      <c r="G2721" s="75">
        <f>C2721-D2721</f>
        <v>1.833750000000002</v>
      </c>
      <c r="H2721" s="74">
        <v>630</v>
      </c>
      <c r="I2721" s="74" t="s">
        <v>352</v>
      </c>
    </row>
    <row r="2722" spans="1:9" ht="12.75">
      <c r="A2722" s="5"/>
      <c r="B2722" s="73"/>
      <c r="C2722" s="75"/>
      <c r="D2722" s="74"/>
      <c r="E2722" s="74" t="s">
        <v>14</v>
      </c>
      <c r="F2722" s="76">
        <f>AVERAGE(F2706:F2721)</f>
        <v>0.049722579105474195</v>
      </c>
      <c r="G2722" s="75">
        <f>AVERAGE(G2706:G2721)</f>
        <v>4.0933984375</v>
      </c>
      <c r="H2722" s="74"/>
      <c r="I2722" s="74"/>
    </row>
    <row r="2723" spans="1:9" ht="12.75">
      <c r="A2723" s="5"/>
      <c r="B2723" s="73"/>
      <c r="C2723" s="75"/>
      <c r="D2723" s="74"/>
      <c r="E2723" s="74"/>
      <c r="F2723" s="76"/>
      <c r="G2723" s="75"/>
      <c r="H2723" s="74"/>
      <c r="I2723" s="74"/>
    </row>
    <row r="2724" spans="1:9" ht="12.75">
      <c r="A2724" s="79" t="s">
        <v>0</v>
      </c>
      <c r="B2724" s="79" t="s">
        <v>1</v>
      </c>
      <c r="C2724" s="80" t="s">
        <v>353</v>
      </c>
      <c r="D2724" s="80" t="s">
        <v>194</v>
      </c>
      <c r="E2724" s="80" t="s">
        <v>218</v>
      </c>
      <c r="F2724" s="80" t="s">
        <v>5</v>
      </c>
      <c r="G2724" s="80" t="s">
        <v>6</v>
      </c>
      <c r="H2724" s="80" t="s">
        <v>7</v>
      </c>
      <c r="I2724" s="80" t="s">
        <v>8</v>
      </c>
    </row>
    <row r="2725" spans="1:9" ht="12.75">
      <c r="A2725" s="79" t="s">
        <v>351</v>
      </c>
      <c r="B2725" s="79" t="s">
        <v>312</v>
      </c>
      <c r="C2725" s="81">
        <f>(6/5)^1.78*E2725</f>
        <v>102.82690183937515</v>
      </c>
      <c r="D2725" s="80">
        <v>100.95</v>
      </c>
      <c r="E2725" s="80">
        <v>74.33</v>
      </c>
      <c r="F2725" s="82">
        <f>-((D2725-C2725)/D2725)</f>
        <v>0.018592390682269942</v>
      </c>
      <c r="G2725" s="81">
        <f>C2725-D2725</f>
        <v>1.8769018393751509</v>
      </c>
      <c r="H2725" s="80">
        <v>630</v>
      </c>
      <c r="I2725" s="80" t="s">
        <v>352</v>
      </c>
    </row>
    <row r="2726" spans="1:9" ht="12.75">
      <c r="A2726" s="83"/>
      <c r="B2726" s="79" t="s">
        <v>300</v>
      </c>
      <c r="C2726" s="81">
        <f>(6/5)^1.78*E2726</f>
        <v>92.46535879111846</v>
      </c>
      <c r="D2726" s="80">
        <v>89.89</v>
      </c>
      <c r="E2726" s="80">
        <v>66.84</v>
      </c>
      <c r="F2726" s="82">
        <f>-((D2726-C2726)/D2726)</f>
        <v>0.02865011448568763</v>
      </c>
      <c r="G2726" s="81">
        <f>C2726-D2726</f>
        <v>2.575358791118461</v>
      </c>
      <c r="H2726" s="80">
        <v>630</v>
      </c>
      <c r="I2726" s="80" t="s">
        <v>352</v>
      </c>
    </row>
    <row r="2727" spans="1:9" ht="12.75">
      <c r="A2727" s="83"/>
      <c r="B2727" s="79" t="s">
        <v>299</v>
      </c>
      <c r="C2727" s="81">
        <f>(6/5)^1.78*E2727</f>
        <v>65.89056013197147</v>
      </c>
      <c r="D2727" s="80">
        <v>64.72</v>
      </c>
      <c r="E2727" s="80">
        <v>47.63</v>
      </c>
      <c r="F2727" s="82">
        <f>-((D2727-C2727)/D2727)</f>
        <v>0.018086528615133966</v>
      </c>
      <c r="G2727" s="81">
        <f>C2727-D2727</f>
        <v>1.1705601319714702</v>
      </c>
      <c r="H2727" s="80">
        <v>630</v>
      </c>
      <c r="I2727" s="80" t="s">
        <v>352</v>
      </c>
    </row>
    <row r="2728" spans="1:9" ht="12.75">
      <c r="A2728" s="83"/>
      <c r="B2728" s="79" t="s">
        <v>301</v>
      </c>
      <c r="C2728" s="81">
        <f>(6/5)^1.78*E2728</f>
        <v>64.29966900974246</v>
      </c>
      <c r="D2728" s="80">
        <v>61.02</v>
      </c>
      <c r="E2728" s="80">
        <v>46.48</v>
      </c>
      <c r="F2728" s="82">
        <f>-((D2728-C2728)/D2728)</f>
        <v>0.05374744362082032</v>
      </c>
      <c r="G2728" s="81">
        <f>C2728-D2728</f>
        <v>3.279669009742456</v>
      </c>
      <c r="H2728" s="80">
        <v>630</v>
      </c>
      <c r="I2728" s="80" t="s">
        <v>352</v>
      </c>
    </row>
    <row r="2729" spans="1:9" ht="12.75">
      <c r="A2729" s="83"/>
      <c r="B2729" s="79" t="s">
        <v>286</v>
      </c>
      <c r="C2729" s="81">
        <f>(6/5)^1.78*E2729</f>
        <v>104.48696214083151</v>
      </c>
      <c r="D2729" s="80">
        <v>102.72</v>
      </c>
      <c r="E2729" s="80">
        <v>75.53</v>
      </c>
      <c r="F2729" s="82">
        <f>-((D2729-C2729)/D2729)</f>
        <v>0.017201734237066876</v>
      </c>
      <c r="G2729" s="81">
        <f>C2729-D2729</f>
        <v>1.7669621408315095</v>
      </c>
      <c r="H2729" s="80">
        <v>630</v>
      </c>
      <c r="I2729" s="80" t="s">
        <v>352</v>
      </c>
    </row>
    <row r="2730" spans="1:9" ht="12.75">
      <c r="A2730" s="83"/>
      <c r="B2730" s="79" t="s">
        <v>289</v>
      </c>
      <c r="C2730" s="81">
        <f>(6/5)^1.78*E2730</f>
        <v>89.87843148801565</v>
      </c>
      <c r="D2730" s="80">
        <v>94.59</v>
      </c>
      <c r="E2730" s="80">
        <v>64.97</v>
      </c>
      <c r="F2730" s="82">
        <f>-((D2730-C2730)/D2730)</f>
        <v>-0.04981042934754576</v>
      </c>
      <c r="G2730" s="81">
        <f>C2730-D2730</f>
        <v>-4.711568511984353</v>
      </c>
      <c r="H2730" s="80">
        <v>630</v>
      </c>
      <c r="I2730" s="80" t="s">
        <v>352</v>
      </c>
    </row>
    <row r="2731" spans="1:9" ht="12.75">
      <c r="A2731" s="83"/>
      <c r="B2731" s="79" t="s">
        <v>287</v>
      </c>
      <c r="C2731" s="81">
        <f>(6/5)^1.78*E2731</f>
        <v>100.12930384950859</v>
      </c>
      <c r="D2731" s="80">
        <v>99.88</v>
      </c>
      <c r="E2731" s="80">
        <v>72.38</v>
      </c>
      <c r="F2731" s="82">
        <f>-((D2731-C2731)/D2731)</f>
        <v>0.002496033735568609</v>
      </c>
      <c r="G2731" s="81">
        <f>C2731-D2731</f>
        <v>0.24930384950859263</v>
      </c>
      <c r="H2731" s="80">
        <v>630</v>
      </c>
      <c r="I2731" s="80" t="s">
        <v>352</v>
      </c>
    </row>
    <row r="2732" spans="1:9" ht="12.75">
      <c r="A2732" s="83"/>
      <c r="B2732" s="79" t="s">
        <v>242</v>
      </c>
      <c r="C2732" s="81">
        <f>(6/5)^1.78*E2732</f>
        <v>81.97931122025254</v>
      </c>
      <c r="D2732" s="80">
        <v>82.6</v>
      </c>
      <c r="E2732" s="80">
        <v>59.26</v>
      </c>
      <c r="F2732" s="82">
        <f>-((D2732-C2732)/D2732)</f>
        <v>-0.007514392006627769</v>
      </c>
      <c r="G2732" s="81">
        <f>C2732-D2732</f>
        <v>-0.6206887797474536</v>
      </c>
      <c r="H2732" s="80">
        <v>630</v>
      </c>
      <c r="I2732" s="80" t="s">
        <v>352</v>
      </c>
    </row>
    <row r="2733" spans="1:9" ht="12.75">
      <c r="A2733" s="83"/>
      <c r="B2733" s="79" t="s">
        <v>148</v>
      </c>
      <c r="C2733" s="81">
        <f>(6/5)^1.78*E2733</f>
        <v>66.38857822240837</v>
      </c>
      <c r="D2733" s="80">
        <v>70.53</v>
      </c>
      <c r="E2733" s="80">
        <v>47.99</v>
      </c>
      <c r="F2733" s="82">
        <f>-((D2733-C2733)/D2733)</f>
        <v>-0.05871858468157708</v>
      </c>
      <c r="G2733" s="81">
        <f>C2733-D2733</f>
        <v>-4.141421777591631</v>
      </c>
      <c r="H2733" s="80">
        <v>630</v>
      </c>
      <c r="I2733" s="80" t="s">
        <v>352</v>
      </c>
    </row>
    <row r="2734" spans="1:9" ht="12.75">
      <c r="A2734" s="83"/>
      <c r="B2734" s="79" t="s">
        <v>243</v>
      </c>
      <c r="C2734" s="81">
        <f>(6/5)^1.78*E2734</f>
        <v>80.36075242633261</v>
      </c>
      <c r="D2734" s="80">
        <v>80.61</v>
      </c>
      <c r="E2734" s="80">
        <v>58.09</v>
      </c>
      <c r="F2734" s="82">
        <f>-((D2734-C2734)/D2734)</f>
        <v>-0.003092018033338166</v>
      </c>
      <c r="G2734" s="81">
        <f>C2734-D2734</f>
        <v>-0.2492475736673896</v>
      </c>
      <c r="H2734" s="80">
        <v>630</v>
      </c>
      <c r="I2734" s="80" t="s">
        <v>352</v>
      </c>
    </row>
    <row r="2735" spans="1:9" ht="12.75">
      <c r="A2735" s="83"/>
      <c r="B2735" s="79" t="s">
        <v>244</v>
      </c>
      <c r="C2735" s="81">
        <f>(6/5)^1.78*E2735</f>
        <v>69.94387403469405</v>
      </c>
      <c r="D2735" s="80">
        <v>69.18</v>
      </c>
      <c r="E2735" s="80">
        <v>50.56</v>
      </c>
      <c r="F2735" s="82">
        <f>-((D2735-C2735)/D2735)</f>
        <v>0.011041833401185905</v>
      </c>
      <c r="G2735" s="81">
        <f>C2735-D2735</f>
        <v>0.7638740346940409</v>
      </c>
      <c r="H2735" s="80">
        <v>630</v>
      </c>
      <c r="I2735" s="80" t="s">
        <v>352</v>
      </c>
    </row>
    <row r="2736" spans="1:9" ht="12.75">
      <c r="A2736" s="83"/>
      <c r="B2736" s="79" t="s">
        <v>122</v>
      </c>
      <c r="C2736" s="81">
        <f>(6/5)^1.78*E2736</f>
        <v>64.94985929447954</v>
      </c>
      <c r="D2736" s="80">
        <v>66.95</v>
      </c>
      <c r="E2736" s="80">
        <v>46.95</v>
      </c>
      <c r="F2736" s="82">
        <f>-((D2736-C2736)/D2736)</f>
        <v>-0.02987514123256856</v>
      </c>
      <c r="G2736" s="81">
        <f>C2736-D2736</f>
        <v>-2.000140705520465</v>
      </c>
      <c r="H2736" s="80">
        <v>630</v>
      </c>
      <c r="I2736" s="80" t="s">
        <v>352</v>
      </c>
    </row>
    <row r="2737" spans="1:9" ht="12.75">
      <c r="A2737" s="83"/>
      <c r="B2737" s="79"/>
      <c r="C2737" s="81"/>
      <c r="D2737" s="80"/>
      <c r="E2737" s="80" t="s">
        <v>14</v>
      </c>
      <c r="F2737" s="82">
        <f>AVERAGE(F2725:F2736)</f>
        <v>6.712612300632745E-05</v>
      </c>
      <c r="G2737" s="81">
        <f>AVERAGE(G2725:G2736)</f>
        <v>-0.0033697959391343346</v>
      </c>
      <c r="H2737" s="80"/>
      <c r="I2737" s="83"/>
    </row>
    <row r="2738" spans="1:9" ht="12.75">
      <c r="A2738" s="83"/>
      <c r="B2738" s="79"/>
      <c r="C2738" s="81"/>
      <c r="D2738" s="80"/>
      <c r="E2738" s="80"/>
      <c r="F2738" s="82"/>
      <c r="G2738" s="81"/>
      <c r="H2738" s="80"/>
      <c r="I2738" s="80"/>
    </row>
    <row r="2739" spans="1:9" ht="12.75">
      <c r="A2739" s="83" t="s">
        <v>0</v>
      </c>
      <c r="B2739" s="83" t="s">
        <v>1</v>
      </c>
      <c r="C2739" s="84" t="s">
        <v>247</v>
      </c>
      <c r="D2739" s="84" t="s">
        <v>194</v>
      </c>
      <c r="E2739" s="84" t="s">
        <v>218</v>
      </c>
      <c r="F2739" s="84" t="s">
        <v>5</v>
      </c>
      <c r="G2739" s="84" t="s">
        <v>6</v>
      </c>
      <c r="H2739" s="84" t="s">
        <v>7</v>
      </c>
      <c r="I2739" s="84" t="s">
        <v>8</v>
      </c>
    </row>
    <row r="2740" spans="1:9" ht="12.75">
      <c r="A2740" s="83" t="s">
        <v>351</v>
      </c>
      <c r="B2740" s="83" t="s">
        <v>312</v>
      </c>
      <c r="C2740" s="85">
        <f>(6/5)^2*E2740</f>
        <v>107.03519999999999</v>
      </c>
      <c r="D2740" s="84">
        <v>100.95</v>
      </c>
      <c r="E2740" s="84">
        <v>74.33</v>
      </c>
      <c r="F2740" s="86">
        <f>-((D2740-C2740)/D2740)</f>
        <v>0.060279346210995406</v>
      </c>
      <c r="G2740" s="85">
        <f>C2740-D2740</f>
        <v>6.085199999999986</v>
      </c>
      <c r="H2740" s="84">
        <v>630</v>
      </c>
      <c r="I2740" s="84" t="s">
        <v>352</v>
      </c>
    </row>
    <row r="2741" spans="1:9" ht="12.75">
      <c r="A2741" s="83"/>
      <c r="B2741" s="83" t="s">
        <v>300</v>
      </c>
      <c r="C2741" s="85">
        <f>(6/5)^2*E2741</f>
        <v>96.2496</v>
      </c>
      <c r="D2741" s="84">
        <v>89.89</v>
      </c>
      <c r="E2741" s="84">
        <v>66.84</v>
      </c>
      <c r="F2741" s="86">
        <f>-((D2741-C2741)/D2741)</f>
        <v>0.07074869284681277</v>
      </c>
      <c r="G2741" s="85">
        <f>C2741-D2741</f>
        <v>6.3596</v>
      </c>
      <c r="H2741" s="84">
        <v>630</v>
      </c>
      <c r="I2741" s="84" t="s">
        <v>352</v>
      </c>
    </row>
    <row r="2742" spans="1:9" ht="12.75">
      <c r="A2742" s="83"/>
      <c r="B2742" s="83" t="s">
        <v>299</v>
      </c>
      <c r="C2742" s="85">
        <f>(6/5)^2*E2742</f>
        <v>68.5872</v>
      </c>
      <c r="D2742" s="84">
        <v>64.72</v>
      </c>
      <c r="E2742" s="84">
        <v>47.63</v>
      </c>
      <c r="F2742" s="86">
        <f>-((D2742-C2742)/D2742)</f>
        <v>0.059752781211372015</v>
      </c>
      <c r="G2742" s="85">
        <f>C2742-D2742</f>
        <v>3.867199999999997</v>
      </c>
      <c r="H2742" s="84">
        <v>630</v>
      </c>
      <c r="I2742" s="84" t="s">
        <v>352</v>
      </c>
    </row>
    <row r="2743" spans="1:9" ht="12.75">
      <c r="A2743" s="83"/>
      <c r="B2743" s="83" t="s">
        <v>301</v>
      </c>
      <c r="C2743" s="85">
        <f>(6/5)^2*E2743</f>
        <v>66.93119999999999</v>
      </c>
      <c r="D2743" s="84">
        <v>61.02</v>
      </c>
      <c r="E2743" s="84">
        <v>46.48</v>
      </c>
      <c r="F2743" s="86">
        <f>-((D2743-C2743)/D2743)</f>
        <v>0.09687315634218267</v>
      </c>
      <c r="G2743" s="85">
        <f>C2743-D2743</f>
        <v>5.911199999999987</v>
      </c>
      <c r="H2743" s="84">
        <v>630</v>
      </c>
      <c r="I2743" s="84" t="s">
        <v>352</v>
      </c>
    </row>
    <row r="2744" spans="1:9" ht="12.75">
      <c r="A2744" s="83"/>
      <c r="B2744" s="83" t="s">
        <v>286</v>
      </c>
      <c r="C2744" s="85">
        <f>(6/5)^2*E2744</f>
        <v>108.7632</v>
      </c>
      <c r="D2744" s="84">
        <v>102.72</v>
      </c>
      <c r="E2744" s="84">
        <v>75.53</v>
      </c>
      <c r="F2744" s="86">
        <f>-((D2744-C2744)/D2744)</f>
        <v>0.05883177570093457</v>
      </c>
      <c r="G2744" s="85">
        <f>C2744-D2744</f>
        <v>6.043199999999999</v>
      </c>
      <c r="H2744" s="84">
        <v>630</v>
      </c>
      <c r="I2744" s="84" t="s">
        <v>352</v>
      </c>
    </row>
    <row r="2745" spans="1:9" ht="12.75">
      <c r="A2745" s="83"/>
      <c r="B2745" s="83" t="s">
        <v>289</v>
      </c>
      <c r="C2745" s="85">
        <f>(6/5)^2*E2745</f>
        <v>93.5568</v>
      </c>
      <c r="D2745" s="84">
        <v>94.59</v>
      </c>
      <c r="E2745" s="84">
        <v>64.97</v>
      </c>
      <c r="F2745" s="86">
        <f>-((D2745-C2745)/D2745)</f>
        <v>-0.010922930542340711</v>
      </c>
      <c r="G2745" s="85">
        <f>C2745-D2745</f>
        <v>-1.033200000000008</v>
      </c>
      <c r="H2745" s="84">
        <v>630</v>
      </c>
      <c r="I2745" s="84" t="s">
        <v>352</v>
      </c>
    </row>
    <row r="2746" spans="1:9" ht="12.75">
      <c r="A2746" s="83"/>
      <c r="B2746" s="83" t="s">
        <v>287</v>
      </c>
      <c r="C2746" s="85">
        <f>(6/5)^2*E2746</f>
        <v>104.2272</v>
      </c>
      <c r="D2746" s="84">
        <v>99.88</v>
      </c>
      <c r="E2746" s="84">
        <v>72.38</v>
      </c>
      <c r="F2746" s="86">
        <f>-((D2746-C2746)/D2746)</f>
        <v>0.04352422907488988</v>
      </c>
      <c r="G2746" s="85">
        <f>C2746-D2746</f>
        <v>4.347200000000001</v>
      </c>
      <c r="H2746" s="84">
        <v>630</v>
      </c>
      <c r="I2746" s="84" t="s">
        <v>352</v>
      </c>
    </row>
    <row r="2747" spans="1:9" ht="12.75">
      <c r="A2747" s="83"/>
      <c r="B2747" s="83" t="s">
        <v>242</v>
      </c>
      <c r="C2747" s="85">
        <f>(6/5)^2*E2747</f>
        <v>85.33439999999999</v>
      </c>
      <c r="D2747" s="84">
        <v>82.6</v>
      </c>
      <c r="E2747" s="84">
        <v>59.26</v>
      </c>
      <c r="F2747" s="86">
        <f>-((D2747-C2747)/D2747)</f>
        <v>0.033104116222760216</v>
      </c>
      <c r="G2747" s="85">
        <f>C2747-D2747</f>
        <v>2.7343999999999937</v>
      </c>
      <c r="H2747" s="84">
        <v>630</v>
      </c>
      <c r="I2747" s="84" t="s">
        <v>352</v>
      </c>
    </row>
    <row r="2748" spans="1:9" ht="12.75">
      <c r="A2748" s="83"/>
      <c r="B2748" s="83" t="s">
        <v>148</v>
      </c>
      <c r="C2748" s="85">
        <f>(6/5)^2*E2748</f>
        <v>69.1056</v>
      </c>
      <c r="D2748" s="84">
        <v>70.53</v>
      </c>
      <c r="E2748" s="84">
        <v>47.99</v>
      </c>
      <c r="F2748" s="86">
        <f>-((D2748-C2748)/D2748)</f>
        <v>-0.020195661420672133</v>
      </c>
      <c r="G2748" s="85">
        <f>C2748-D2748</f>
        <v>-1.4244000000000057</v>
      </c>
      <c r="H2748" s="84">
        <v>630</v>
      </c>
      <c r="I2748" s="84" t="s">
        <v>352</v>
      </c>
    </row>
    <row r="2749" spans="1:9" ht="12.75">
      <c r="A2749" s="83"/>
      <c r="B2749" s="83" t="s">
        <v>243</v>
      </c>
      <c r="C2749" s="85">
        <f>(6/5)^2*E2749</f>
        <v>83.6496</v>
      </c>
      <c r="D2749" s="84">
        <v>80.61</v>
      </c>
      <c r="E2749" s="84">
        <v>58.09</v>
      </c>
      <c r="F2749" s="86">
        <f>-((D2749-C2749)/D2749)</f>
        <v>0.03770748046148129</v>
      </c>
      <c r="G2749" s="85">
        <f>C2749-D2749</f>
        <v>3.039600000000007</v>
      </c>
      <c r="H2749" s="84">
        <v>630</v>
      </c>
      <c r="I2749" s="84" t="s">
        <v>352</v>
      </c>
    </row>
    <row r="2750" spans="1:9" ht="12.75">
      <c r="A2750" s="83"/>
      <c r="B2750" s="83" t="s">
        <v>244</v>
      </c>
      <c r="C2750" s="85">
        <f>(6/5)^2*E2750</f>
        <v>72.8064</v>
      </c>
      <c r="D2750" s="84">
        <v>69.18</v>
      </c>
      <c r="E2750" s="84">
        <v>50.56</v>
      </c>
      <c r="F2750" s="86">
        <f>-((D2750-C2750)/D2750)</f>
        <v>0.0524197745013008</v>
      </c>
      <c r="G2750" s="85">
        <f>C2750-D2750</f>
        <v>3.6263999999999896</v>
      </c>
      <c r="H2750" s="84">
        <v>630</v>
      </c>
      <c r="I2750" s="84" t="s">
        <v>352</v>
      </c>
    </row>
    <row r="2751" spans="1:9" ht="12.75">
      <c r="A2751" s="83"/>
      <c r="B2751" s="83" t="s">
        <v>122</v>
      </c>
      <c r="C2751" s="85">
        <f>(6/5)^2*E2751</f>
        <v>67.608</v>
      </c>
      <c r="D2751" s="84">
        <v>66.95</v>
      </c>
      <c r="E2751" s="84">
        <v>46.95</v>
      </c>
      <c r="F2751" s="86">
        <f>-((D2751-C2751)/D2751)</f>
        <v>0.009828230022404799</v>
      </c>
      <c r="G2751" s="85">
        <f>C2751-D2751</f>
        <v>0.6580000000000013</v>
      </c>
      <c r="H2751" s="84">
        <v>630</v>
      </c>
      <c r="I2751" s="84" t="s">
        <v>352</v>
      </c>
    </row>
    <row r="2752" spans="1:9" ht="12.75">
      <c r="A2752" s="83"/>
      <c r="B2752" s="83"/>
      <c r="C2752" s="85"/>
      <c r="D2752" s="84"/>
      <c r="E2752" s="84" t="s">
        <v>14</v>
      </c>
      <c r="F2752" s="86">
        <f>AVERAGE(F2740:F2751)</f>
        <v>0.040995915886010134</v>
      </c>
      <c r="G2752" s="85">
        <f>AVERAGE(G2740:G2751)</f>
        <v>3.3511999999999955</v>
      </c>
      <c r="H2752" s="84"/>
      <c r="I2752" s="83"/>
    </row>
    <row r="2753" spans="1:9" ht="12.75">
      <c r="A2753" s="98"/>
      <c r="B2753" s="98"/>
      <c r="C2753" s="99"/>
      <c r="D2753" s="100"/>
      <c r="E2753" s="100"/>
      <c r="F2753" s="101"/>
      <c r="G2753" s="99"/>
      <c r="H2753" s="100"/>
      <c r="I2753" s="98"/>
    </row>
    <row r="2754" spans="1:9" ht="12.75">
      <c r="A2754" s="69" t="s">
        <v>0</v>
      </c>
      <c r="B2754" s="69" t="s">
        <v>1</v>
      </c>
      <c r="C2754" s="70" t="s">
        <v>354</v>
      </c>
      <c r="D2754" s="70" t="s">
        <v>218</v>
      </c>
      <c r="E2754" s="70" t="s">
        <v>73</v>
      </c>
      <c r="F2754" s="70" t="s">
        <v>5</v>
      </c>
      <c r="G2754" s="70" t="s">
        <v>6</v>
      </c>
      <c r="H2754" s="70" t="s">
        <v>7</v>
      </c>
      <c r="I2754" s="70" t="s">
        <v>8</v>
      </c>
    </row>
    <row r="2755" spans="1:9" ht="12.75">
      <c r="A2755" s="69" t="s">
        <v>355</v>
      </c>
      <c r="B2755" s="69" t="s">
        <v>340</v>
      </c>
      <c r="C2755" s="71">
        <f>(5/4)^1.71*E2755</f>
        <v>82.14886401993185</v>
      </c>
      <c r="D2755" s="70">
        <v>78.08</v>
      </c>
      <c r="E2755" s="70">
        <v>56.09</v>
      </c>
      <c r="F2755" s="72">
        <f>-((D2755-C2755)/D2755)</f>
        <v>0.052111475665110804</v>
      </c>
      <c r="G2755" s="71">
        <f>C2755-D2755</f>
        <v>4.068864019931851</v>
      </c>
      <c r="H2755" s="70">
        <v>540</v>
      </c>
      <c r="I2755" s="70" t="s">
        <v>352</v>
      </c>
    </row>
    <row r="2756" spans="2:9" ht="12.75">
      <c r="B2756" s="69" t="s">
        <v>341</v>
      </c>
      <c r="C2756" s="71">
        <f>(5/4)^1.71*E2756</f>
        <v>71.8235031473963</v>
      </c>
      <c r="D2756" s="70">
        <v>68.71</v>
      </c>
      <c r="E2756" s="70">
        <v>49.04</v>
      </c>
      <c r="F2756" s="72">
        <f>-((D2756-C2756)/D2756)</f>
        <v>0.04531368283213945</v>
      </c>
      <c r="G2756" s="71">
        <f>C2756-D2756</f>
        <v>3.113503147396301</v>
      </c>
      <c r="H2756" s="70">
        <v>540</v>
      </c>
      <c r="I2756" s="70" t="s">
        <v>352</v>
      </c>
    </row>
    <row r="2757" spans="2:9" ht="12.75">
      <c r="B2757" s="69" t="s">
        <v>334</v>
      </c>
      <c r="C2757" s="71">
        <f>(5/4)^1.71*E2757</f>
        <v>68.7478637385559</v>
      </c>
      <c r="D2757" s="70">
        <v>65.84</v>
      </c>
      <c r="E2757" s="70">
        <v>46.94</v>
      </c>
      <c r="F2757" s="72">
        <f>-((D2757-C2757)/D2757)</f>
        <v>0.04416560963784786</v>
      </c>
      <c r="G2757" s="71">
        <f>C2757-D2757</f>
        <v>2.9078637385559034</v>
      </c>
      <c r="H2757" s="70">
        <v>540</v>
      </c>
      <c r="I2757" s="70" t="s">
        <v>352</v>
      </c>
    </row>
    <row r="2758" spans="2:9" ht="12.75">
      <c r="B2758" s="69" t="s">
        <v>316</v>
      </c>
      <c r="C2758" s="71">
        <f>(5/4)^1.71*E2758</f>
        <v>57.6902077686774</v>
      </c>
      <c r="D2758" s="70">
        <v>55.57</v>
      </c>
      <c r="E2758" s="70">
        <v>39.39</v>
      </c>
      <c r="F2758" s="72">
        <f>-((D2758-C2758)/D2758)</f>
        <v>0.03815381984303407</v>
      </c>
      <c r="G2758" s="71">
        <f>C2758-D2758</f>
        <v>2.1202077686774032</v>
      </c>
      <c r="H2758" s="70">
        <v>540</v>
      </c>
      <c r="I2758" s="70" t="s">
        <v>352</v>
      </c>
    </row>
    <row r="2759" spans="2:9" ht="12.75">
      <c r="B2759" s="69" t="s">
        <v>345</v>
      </c>
      <c r="C2759" s="71">
        <f>(5/4)^1.71*E2759</f>
        <v>90.07229697318255</v>
      </c>
      <c r="D2759" s="70">
        <v>92.32</v>
      </c>
      <c r="E2759" s="70">
        <v>61.5</v>
      </c>
      <c r="F2759" s="72">
        <f>-((D2759-C2759)/D2759)</f>
        <v>-0.024346869874539077</v>
      </c>
      <c r="G2759" s="71">
        <f>C2759-D2759</f>
        <v>-2.2477030268174474</v>
      </c>
      <c r="H2759" s="70">
        <v>540</v>
      </c>
      <c r="I2759" s="70" t="s">
        <v>352</v>
      </c>
    </row>
    <row r="2760" spans="2:9" ht="12.75">
      <c r="B2760" s="69" t="s">
        <v>346</v>
      </c>
      <c r="C2760" s="71">
        <f>(5/4)^1.71*E2760</f>
        <v>82.19280172577243</v>
      </c>
      <c r="D2760" s="70">
        <v>83.95</v>
      </c>
      <c r="E2760" s="70">
        <v>56.12</v>
      </c>
      <c r="F2760" s="72">
        <f>-((D2760-C2760)/D2760)</f>
        <v>-0.020931486292168868</v>
      </c>
      <c r="G2760" s="71">
        <f>C2760-D2760</f>
        <v>-1.7571982742275765</v>
      </c>
      <c r="H2760" s="70">
        <v>540</v>
      </c>
      <c r="I2760" s="70" t="s">
        <v>352</v>
      </c>
    </row>
    <row r="2761" spans="2:9" ht="12.75">
      <c r="B2761" s="69" t="s">
        <v>335</v>
      </c>
      <c r="C2761" s="71">
        <f>(5/4)^1.71*E2761</f>
        <v>77.15461145605295</v>
      </c>
      <c r="D2761" s="70">
        <v>78.88</v>
      </c>
      <c r="E2761" s="70">
        <v>52.68</v>
      </c>
      <c r="F2761" s="72">
        <f>-((D2761-C2761)/D2761)</f>
        <v>-0.02187358701758428</v>
      </c>
      <c r="G2761" s="71">
        <f>C2761-D2761</f>
        <v>-1.725388543947048</v>
      </c>
      <c r="H2761" s="70">
        <v>540</v>
      </c>
      <c r="I2761" s="70" t="s">
        <v>352</v>
      </c>
    </row>
    <row r="2762" spans="2:9" ht="12.75">
      <c r="B2762" s="69" t="s">
        <v>317</v>
      </c>
      <c r="C2762" s="71">
        <f>(5/4)^1.71*E2762</f>
        <v>55.37615526107369</v>
      </c>
      <c r="D2762" s="70">
        <v>56.4</v>
      </c>
      <c r="E2762" s="70">
        <v>37.81</v>
      </c>
      <c r="F2762" s="72">
        <f>-((D2762-C2762)/D2762)</f>
        <v>-0.01815327551287779</v>
      </c>
      <c r="G2762" s="71">
        <f>C2762-D2762</f>
        <v>-1.0238447389263072</v>
      </c>
      <c r="H2762" s="70">
        <v>540</v>
      </c>
      <c r="I2762" s="70" t="s">
        <v>352</v>
      </c>
    </row>
    <row r="2763" spans="2:9" ht="12.75">
      <c r="B2763" s="69" t="s">
        <v>283</v>
      </c>
      <c r="C2763" s="71">
        <f>(5/4)^1.71*E2763</f>
        <v>50.70411254002568</v>
      </c>
      <c r="D2763" s="70">
        <v>52.47</v>
      </c>
      <c r="E2763" s="70">
        <v>34.62</v>
      </c>
      <c r="F2763" s="72">
        <f>-((D2763-C2763)/D2763)</f>
        <v>-0.03365518315178799</v>
      </c>
      <c r="G2763" s="71">
        <f>C2763-D2763</f>
        <v>-1.7658874599743157</v>
      </c>
      <c r="H2763" s="70">
        <v>540</v>
      </c>
      <c r="I2763" s="70" t="s">
        <v>352</v>
      </c>
    </row>
    <row r="2764" spans="2:9" ht="12.75">
      <c r="B2764" s="69" t="s">
        <v>318</v>
      </c>
      <c r="C2764" s="71">
        <f>(5/4)^1.71*E2764</f>
        <v>75.48497863411103</v>
      </c>
      <c r="D2764" s="70">
        <v>74.27</v>
      </c>
      <c r="E2764" s="70">
        <v>51.54</v>
      </c>
      <c r="F2764" s="72">
        <f>-((D2764-C2764)/D2764)</f>
        <v>0.016358942158489757</v>
      </c>
      <c r="G2764" s="71">
        <f>C2764-D2764</f>
        <v>1.2149786341110342</v>
      </c>
      <c r="H2764" s="70">
        <v>540</v>
      </c>
      <c r="I2764" s="70" t="s">
        <v>352</v>
      </c>
    </row>
    <row r="2765" spans="2:9" ht="12.75">
      <c r="B2765" s="69" t="s">
        <v>319</v>
      </c>
      <c r="C2765" s="71">
        <f>(5/4)^1.71*E2765</f>
        <v>51.6268043626778</v>
      </c>
      <c r="D2765" s="70">
        <v>54.24</v>
      </c>
      <c r="E2765" s="70">
        <v>35.25</v>
      </c>
      <c r="F2765" s="72">
        <f>-((D2765-C2765)/D2765)</f>
        <v>-0.04817838564384586</v>
      </c>
      <c r="G2765" s="71">
        <f>C2765-D2765</f>
        <v>-2.6131956373221996</v>
      </c>
      <c r="H2765" s="70">
        <v>540</v>
      </c>
      <c r="I2765" s="70" t="s">
        <v>352</v>
      </c>
    </row>
    <row r="2766" spans="2:9" ht="12.75">
      <c r="B2766" s="69" t="s">
        <v>320</v>
      </c>
      <c r="C2766" s="71">
        <f>(5/4)^1.71*E2766</f>
        <v>51.187427304272035</v>
      </c>
      <c r="D2766" s="70">
        <v>52.65</v>
      </c>
      <c r="E2766" s="70">
        <v>34.95</v>
      </c>
      <c r="F2766" s="72">
        <f>-((D2766-C2766)/D2766)</f>
        <v>-0.02777915851335164</v>
      </c>
      <c r="G2766" s="71">
        <f>C2766-D2766</f>
        <v>-1.462572695727964</v>
      </c>
      <c r="H2766" s="70">
        <v>540</v>
      </c>
      <c r="I2766" s="70" t="s">
        <v>352</v>
      </c>
    </row>
    <row r="2767" spans="2:9" ht="12.75">
      <c r="B2767" s="69"/>
      <c r="C2767" s="71"/>
      <c r="D2767" s="70"/>
      <c r="E2767" s="70" t="s">
        <v>14</v>
      </c>
      <c r="F2767" s="72">
        <f>AVERAGE(F2755:F2766)</f>
        <v>9.87986775388694E-05</v>
      </c>
      <c r="G2767" s="71">
        <f>AVERAGE(G2755:G2766)</f>
        <v>0.06913557764413625</v>
      </c>
      <c r="H2767" s="70"/>
      <c r="I2767" s="70"/>
    </row>
    <row r="2768" spans="2:9" ht="12.75">
      <c r="B2768" s="69"/>
      <c r="C2768" s="71"/>
      <c r="D2768" s="70"/>
      <c r="E2768" s="70"/>
      <c r="F2768" s="72"/>
      <c r="G2768" s="71"/>
      <c r="H2768" s="70"/>
      <c r="I2768" s="70"/>
    </row>
    <row r="2769" spans="1:9" ht="12.75">
      <c r="A2769" s="73" t="s">
        <v>0</v>
      </c>
      <c r="B2769" s="73" t="s">
        <v>1</v>
      </c>
      <c r="C2769" s="74" t="s">
        <v>219</v>
      </c>
      <c r="D2769" s="74" t="s">
        <v>218</v>
      </c>
      <c r="E2769" s="74" t="s">
        <v>73</v>
      </c>
      <c r="F2769" s="74" t="s">
        <v>5</v>
      </c>
      <c r="G2769" s="74" t="s">
        <v>6</v>
      </c>
      <c r="H2769" s="74" t="s">
        <v>7</v>
      </c>
      <c r="I2769" s="74" t="s">
        <v>8</v>
      </c>
    </row>
    <row r="2770" spans="1:9" ht="12.75">
      <c r="A2770" s="73" t="s">
        <v>355</v>
      </c>
      <c r="B2770" s="73" t="s">
        <v>340</v>
      </c>
      <c r="C2770" s="75">
        <f>(5/4)^2*E2770</f>
        <v>87.640625</v>
      </c>
      <c r="D2770" s="74">
        <v>78.08</v>
      </c>
      <c r="E2770" s="74">
        <v>56.09</v>
      </c>
      <c r="F2770" s="76">
        <f>-((D2770-C2770)/D2770)</f>
        <v>0.12244652920081969</v>
      </c>
      <c r="G2770" s="75">
        <f>C2770-D2770</f>
        <v>9.560625000000002</v>
      </c>
      <c r="H2770" s="74">
        <v>540</v>
      </c>
      <c r="I2770" s="74" t="s">
        <v>352</v>
      </c>
    </row>
    <row r="2771" spans="1:9" ht="12.75">
      <c r="A2771" s="5"/>
      <c r="B2771" s="73" t="s">
        <v>341</v>
      </c>
      <c r="C2771" s="75">
        <f>(5/4)^2*E2771</f>
        <v>76.625</v>
      </c>
      <c r="D2771" s="74">
        <v>68.71</v>
      </c>
      <c r="E2771" s="74">
        <v>49.04</v>
      </c>
      <c r="F2771" s="76">
        <f>-((D2771-C2771)/D2771)</f>
        <v>0.11519429486246553</v>
      </c>
      <c r="G2771" s="75">
        <f>C2771-D2771</f>
        <v>7.915000000000006</v>
      </c>
      <c r="H2771" s="74">
        <v>540</v>
      </c>
      <c r="I2771" s="74" t="s">
        <v>352</v>
      </c>
    </row>
    <row r="2772" spans="1:9" ht="12.75">
      <c r="A2772" s="5"/>
      <c r="B2772" s="73" t="s">
        <v>334</v>
      </c>
      <c r="C2772" s="75">
        <f>(5/4)^2*E2772</f>
        <v>73.34375</v>
      </c>
      <c r="D2772" s="74">
        <v>65.84</v>
      </c>
      <c r="E2772" s="74">
        <v>46.94</v>
      </c>
      <c r="F2772" s="76">
        <f>-((D2772-C2772)/D2772)</f>
        <v>0.11396947144592946</v>
      </c>
      <c r="G2772" s="75">
        <f>C2772-D2772</f>
        <v>7.503749999999997</v>
      </c>
      <c r="H2772" s="74">
        <v>540</v>
      </c>
      <c r="I2772" s="74" t="s">
        <v>352</v>
      </c>
    </row>
    <row r="2773" spans="1:9" ht="12.75">
      <c r="A2773" s="5"/>
      <c r="B2773" s="73" t="s">
        <v>316</v>
      </c>
      <c r="C2773" s="75">
        <f>(5/4)^2*E2773</f>
        <v>61.546875</v>
      </c>
      <c r="D2773" s="74">
        <v>55.57</v>
      </c>
      <c r="E2773" s="74">
        <v>39.39</v>
      </c>
      <c r="F2773" s="76">
        <f>-((D2773-C2773)/D2773)</f>
        <v>0.10755578549577109</v>
      </c>
      <c r="G2773" s="75">
        <f>C2773-D2773</f>
        <v>5.976875</v>
      </c>
      <c r="H2773" s="74">
        <v>540</v>
      </c>
      <c r="I2773" s="74" t="s">
        <v>352</v>
      </c>
    </row>
    <row r="2774" spans="1:9" ht="12.75">
      <c r="A2774" s="5"/>
      <c r="B2774" s="73" t="s">
        <v>345</v>
      </c>
      <c r="C2774" s="75">
        <f>(5/4)^2*E2774</f>
        <v>96.09375</v>
      </c>
      <c r="D2774" s="74">
        <v>92.32</v>
      </c>
      <c r="E2774" s="74">
        <v>61.5</v>
      </c>
      <c r="F2774" s="76">
        <f>-((D2774-C2774)/D2774)</f>
        <v>0.04087684142114392</v>
      </c>
      <c r="G2774" s="75">
        <f>C2774-D2774</f>
        <v>3.773750000000007</v>
      </c>
      <c r="H2774" s="74">
        <v>540</v>
      </c>
      <c r="I2774" s="74" t="s">
        <v>352</v>
      </c>
    </row>
    <row r="2775" spans="1:9" ht="12.75">
      <c r="A2775" s="5"/>
      <c r="B2775" s="73" t="s">
        <v>346</v>
      </c>
      <c r="C2775" s="75">
        <f>(5/4)^2*E2775</f>
        <v>87.6875</v>
      </c>
      <c r="D2775" s="74">
        <v>83.95</v>
      </c>
      <c r="E2775" s="74">
        <v>56.12</v>
      </c>
      <c r="F2775" s="76">
        <f>-((D2775-C2775)/D2775)</f>
        <v>0.04452054794520544</v>
      </c>
      <c r="G2775" s="75">
        <f>C2775-D2775</f>
        <v>3.737499999999997</v>
      </c>
      <c r="H2775" s="74">
        <v>540</v>
      </c>
      <c r="I2775" s="74" t="s">
        <v>352</v>
      </c>
    </row>
    <row r="2776" spans="1:9" ht="12.75">
      <c r="A2776" s="5"/>
      <c r="B2776" s="73" t="s">
        <v>335</v>
      </c>
      <c r="C2776" s="75">
        <f>(5/4)^2*E2776</f>
        <v>82.3125</v>
      </c>
      <c r="D2776" s="74">
        <v>78.88</v>
      </c>
      <c r="E2776" s="74">
        <v>52.68</v>
      </c>
      <c r="F2776" s="76">
        <f>-((D2776-C2776)/D2776)</f>
        <v>0.04351546653144022</v>
      </c>
      <c r="G2776" s="75">
        <f>C2776-D2776</f>
        <v>3.4325000000000045</v>
      </c>
      <c r="H2776" s="74">
        <v>540</v>
      </c>
      <c r="I2776" s="74" t="s">
        <v>352</v>
      </c>
    </row>
    <row r="2777" spans="1:9" ht="12.75">
      <c r="A2777" s="5"/>
      <c r="B2777" s="73" t="s">
        <v>317</v>
      </c>
      <c r="C2777" s="75">
        <f>(5/4)^2*E2777</f>
        <v>59.078125</v>
      </c>
      <c r="D2777" s="74">
        <v>56.4</v>
      </c>
      <c r="E2777" s="74">
        <v>37.81</v>
      </c>
      <c r="F2777" s="76">
        <f>-((D2777-C2777)/D2777)</f>
        <v>0.04748448581560286</v>
      </c>
      <c r="G2777" s="75">
        <f>C2777-D2777</f>
        <v>2.6781250000000014</v>
      </c>
      <c r="H2777" s="74">
        <v>540</v>
      </c>
      <c r="I2777" s="74" t="s">
        <v>352</v>
      </c>
    </row>
    <row r="2778" spans="1:9" ht="12.75">
      <c r="A2778" s="5"/>
      <c r="B2778" s="73" t="s">
        <v>283</v>
      </c>
      <c r="C2778" s="75">
        <f>(5/4)^2*E2778</f>
        <v>54.09374999999999</v>
      </c>
      <c r="D2778" s="74">
        <v>52.47</v>
      </c>
      <c r="E2778" s="74">
        <v>34.62</v>
      </c>
      <c r="F2778" s="76">
        <f>-((D2778-C2778)/D2778)</f>
        <v>0.030946255002858664</v>
      </c>
      <c r="G2778" s="75">
        <f>C2778-D2778</f>
        <v>1.623749999999994</v>
      </c>
      <c r="H2778" s="74">
        <v>540</v>
      </c>
      <c r="I2778" s="74" t="s">
        <v>352</v>
      </c>
    </row>
    <row r="2779" spans="1:9" ht="12.75">
      <c r="A2779" s="5"/>
      <c r="B2779" s="73" t="s">
        <v>318</v>
      </c>
      <c r="C2779" s="75">
        <f>(5/4)^2*E2779</f>
        <v>80.53125</v>
      </c>
      <c r="D2779" s="74">
        <v>74.27</v>
      </c>
      <c r="E2779" s="74">
        <v>51.54</v>
      </c>
      <c r="F2779" s="76">
        <f>-((D2779-C2779)/D2779)</f>
        <v>0.08430389120775554</v>
      </c>
      <c r="G2779" s="75">
        <f>C2779-D2779</f>
        <v>6.261250000000004</v>
      </c>
      <c r="H2779" s="74">
        <v>540</v>
      </c>
      <c r="I2779" s="74" t="s">
        <v>352</v>
      </c>
    </row>
    <row r="2780" spans="1:9" ht="12.75">
      <c r="A2780" s="5"/>
      <c r="B2780" s="73" t="s">
        <v>319</v>
      </c>
      <c r="C2780" s="75">
        <f>(5/4)^2*E2780</f>
        <v>55.078125</v>
      </c>
      <c r="D2780" s="74">
        <v>54.24</v>
      </c>
      <c r="E2780" s="74">
        <v>35.25</v>
      </c>
      <c r="F2780" s="76">
        <f>-((D2780-C2780)/D2780)</f>
        <v>0.01545215707964598</v>
      </c>
      <c r="G2780" s="75">
        <f>C2780-D2780</f>
        <v>0.838124999999998</v>
      </c>
      <c r="H2780" s="74">
        <v>540</v>
      </c>
      <c r="I2780" s="74" t="s">
        <v>352</v>
      </c>
    </row>
    <row r="2781" spans="1:9" ht="12.75">
      <c r="A2781" s="5"/>
      <c r="B2781" s="73" t="s">
        <v>320</v>
      </c>
      <c r="C2781" s="75">
        <f>(5/4)^2*E2781</f>
        <v>54.60937500000001</v>
      </c>
      <c r="D2781" s="74">
        <v>52.65</v>
      </c>
      <c r="E2781" s="74">
        <v>34.95</v>
      </c>
      <c r="F2781" s="76">
        <f>-((D2781-C2781)/D2781)</f>
        <v>0.03721509971509988</v>
      </c>
      <c r="G2781" s="75">
        <f>C2781-D2781</f>
        <v>1.9593750000000085</v>
      </c>
      <c r="H2781" s="74">
        <v>540</v>
      </c>
      <c r="I2781" s="74" t="s">
        <v>352</v>
      </c>
    </row>
    <row r="2782" spans="1:9" ht="12.75">
      <c r="A2782" s="5"/>
      <c r="B2782" s="73"/>
      <c r="C2782" s="75"/>
      <c r="D2782" s="74"/>
      <c r="E2782" s="74" t="s">
        <v>14</v>
      </c>
      <c r="F2782" s="76">
        <f>AVERAGE(F2770:F2781)</f>
        <v>0.06695673547697818</v>
      </c>
      <c r="G2782" s="75">
        <f>AVERAGE(G2770:G2781)</f>
        <v>4.605052083333335</v>
      </c>
      <c r="H2782" s="74"/>
      <c r="I2782" s="74"/>
    </row>
    <row r="2783" spans="1:9" ht="12.75">
      <c r="A2783" s="5"/>
      <c r="B2783" s="73"/>
      <c r="C2783" s="75"/>
      <c r="D2783" s="74"/>
      <c r="E2783" s="74"/>
      <c r="F2783" s="76"/>
      <c r="G2783" s="75"/>
      <c r="H2783" s="74"/>
      <c r="I2783" s="74"/>
    </row>
    <row r="2784" spans="1:9" ht="12.75">
      <c r="A2784" s="79" t="s">
        <v>0</v>
      </c>
      <c r="B2784" s="79" t="s">
        <v>1</v>
      </c>
      <c r="C2784" s="80" t="s">
        <v>356</v>
      </c>
      <c r="D2784" s="80" t="s">
        <v>194</v>
      </c>
      <c r="E2784" s="80" t="s">
        <v>218</v>
      </c>
      <c r="F2784" s="80" t="s">
        <v>5</v>
      </c>
      <c r="G2784" s="80" t="s">
        <v>6</v>
      </c>
      <c r="H2784" s="80" t="s">
        <v>7</v>
      </c>
      <c r="I2784" s="80" t="s">
        <v>8</v>
      </c>
    </row>
    <row r="2785" spans="1:9" ht="12.75">
      <c r="A2785" s="79" t="s">
        <v>355</v>
      </c>
      <c r="B2785" s="79" t="s">
        <v>334</v>
      </c>
      <c r="C2785" s="81">
        <f>(6/5)^1.8*E2785</f>
        <v>91.41470562748748</v>
      </c>
      <c r="D2785" s="80">
        <v>86.5</v>
      </c>
      <c r="E2785" s="80">
        <v>65.84</v>
      </c>
      <c r="F2785" s="82">
        <f>-((D2785-C2785)/D2785)</f>
        <v>0.05681740609812114</v>
      </c>
      <c r="G2785" s="81">
        <f>C2785-D2785</f>
        <v>4.9147056274874785</v>
      </c>
      <c r="H2785" s="80">
        <v>540</v>
      </c>
      <c r="I2785" s="80" t="s">
        <v>352</v>
      </c>
    </row>
    <row r="2786" spans="2:9" ht="12.75">
      <c r="B2786" s="79" t="s">
        <v>316</v>
      </c>
      <c r="C2786" s="81">
        <f>(6/5)^1.8*E2786</f>
        <v>77.15545552429343</v>
      </c>
      <c r="D2786" s="80">
        <v>73.85</v>
      </c>
      <c r="E2786" s="80">
        <v>55.57</v>
      </c>
      <c r="F2786" s="82">
        <f>-((D2786-C2786)/D2786)</f>
        <v>0.044759045691177196</v>
      </c>
      <c r="G2786" s="81">
        <f>C2786-D2786</f>
        <v>3.3054555242934356</v>
      </c>
      <c r="H2786" s="80">
        <v>540</v>
      </c>
      <c r="I2786" s="80" t="s">
        <v>352</v>
      </c>
    </row>
    <row r="2787" spans="2:9" ht="12.75">
      <c r="B2787" s="79" t="s">
        <v>312</v>
      </c>
      <c r="C2787" s="81">
        <f>(6/5)^1.8*E2787</f>
        <v>66.28399220316301</v>
      </c>
      <c r="D2787" s="80">
        <v>64.28</v>
      </c>
      <c r="E2787" s="80">
        <v>47.74</v>
      </c>
      <c r="F2787" s="82">
        <f>-((D2787-C2787)/D2787)</f>
        <v>0.03117598324771326</v>
      </c>
      <c r="G2787" s="81">
        <f>C2787-D2787</f>
        <v>2.0039922031630084</v>
      </c>
      <c r="H2787" s="80">
        <v>540</v>
      </c>
      <c r="I2787" s="80" t="s">
        <v>352</v>
      </c>
    </row>
    <row r="2788" spans="2:9" ht="12.75">
      <c r="B2788" s="79" t="s">
        <v>300</v>
      </c>
      <c r="C2788" s="81">
        <f>(6/5)^1.8*E2788</f>
        <v>59.43899677874756</v>
      </c>
      <c r="D2788" s="80">
        <v>57.24</v>
      </c>
      <c r="E2788" s="80">
        <v>42.81</v>
      </c>
      <c r="F2788" s="82">
        <f>-((D2788-C2788)/D2788)</f>
        <v>0.0384171344994332</v>
      </c>
      <c r="G2788" s="81">
        <f>C2788-D2788</f>
        <v>2.1989967787475564</v>
      </c>
      <c r="H2788" s="80">
        <v>540</v>
      </c>
      <c r="I2788" s="80" t="s">
        <v>352</v>
      </c>
    </row>
    <row r="2789" spans="2:9" ht="12.75">
      <c r="B2789" s="79" t="s">
        <v>299</v>
      </c>
      <c r="C2789" s="81">
        <f>(6/5)^1.8*E2789</f>
        <v>41.93080361406625</v>
      </c>
      <c r="D2789" s="80">
        <v>40.72</v>
      </c>
      <c r="E2789" s="80">
        <v>30.2</v>
      </c>
      <c r="F2789" s="82">
        <f>-((D2789-C2789)/D2789)</f>
        <v>0.029734862820880417</v>
      </c>
      <c r="G2789" s="81">
        <f>C2789-D2789</f>
        <v>1.2108036140662506</v>
      </c>
      <c r="H2789" s="80">
        <v>540</v>
      </c>
      <c r="I2789" s="80" t="s">
        <v>352</v>
      </c>
    </row>
    <row r="2790" spans="2:9" ht="12.75">
      <c r="B2790" s="79" t="s">
        <v>335</v>
      </c>
      <c r="C2790" s="81">
        <f>(6/5)^1.8*E2790</f>
        <v>109.5199267906472</v>
      </c>
      <c r="D2790" s="80">
        <v>112.45</v>
      </c>
      <c r="E2790" s="80">
        <v>78.88</v>
      </c>
      <c r="F2790" s="82">
        <f>-((D2790-C2790)/D2790)</f>
        <v>-0.02605667593910892</v>
      </c>
      <c r="G2790" s="81">
        <f>C2790-D2790</f>
        <v>-2.9300732093527984</v>
      </c>
      <c r="H2790" s="80">
        <v>540</v>
      </c>
      <c r="I2790" s="80" t="s">
        <v>352</v>
      </c>
    </row>
    <row r="2791" spans="2:9" ht="12.75">
      <c r="B2791" s="79" t="s">
        <v>317</v>
      </c>
      <c r="C2791" s="81">
        <f>(6/5)^1.8*E2791</f>
        <v>78.30785840507737</v>
      </c>
      <c r="D2791" s="80">
        <v>78.71</v>
      </c>
      <c r="E2791" s="80">
        <v>56.4</v>
      </c>
      <c r="F2791" s="82">
        <f>-((D2791-C2791)/D2791)</f>
        <v>-0.005109155061906051</v>
      </c>
      <c r="G2791" s="81">
        <f>C2791-D2791</f>
        <v>-0.40214159492262525</v>
      </c>
      <c r="H2791" s="80">
        <v>540</v>
      </c>
      <c r="I2791" s="80" t="s">
        <v>352</v>
      </c>
    </row>
    <row r="2792" spans="2:9" ht="12.75">
      <c r="B2792" s="79" t="s">
        <v>283</v>
      </c>
      <c r="C2792" s="81">
        <f>(6/5)^1.8*E2792</f>
        <v>72.85130018642569</v>
      </c>
      <c r="D2792" s="80">
        <v>75.17</v>
      </c>
      <c r="E2792" s="80">
        <v>52.47</v>
      </c>
      <c r="F2792" s="82">
        <f>-((D2792-C2792)/D2792)</f>
        <v>-0.030846079733594683</v>
      </c>
      <c r="G2792" s="81">
        <f>C2792-D2792</f>
        <v>-2.3186998135743124</v>
      </c>
      <c r="H2792" s="80">
        <v>540</v>
      </c>
      <c r="I2792" s="80" t="s">
        <v>352</v>
      </c>
    </row>
    <row r="2793" spans="2:9" ht="12.75">
      <c r="B2793" s="79" t="s">
        <v>288</v>
      </c>
      <c r="C2793" s="81">
        <f>(6/5)^1.8*E2793</f>
        <v>55.09318832470691</v>
      </c>
      <c r="D2793" s="80">
        <v>57.66</v>
      </c>
      <c r="E2793" s="80">
        <v>39.68</v>
      </c>
      <c r="F2793" s="82">
        <f>-((D2793-C2793)/D2793)</f>
        <v>-0.04451633151739661</v>
      </c>
      <c r="G2793" s="81">
        <f>C2793-D2793</f>
        <v>-2.5668116752930885</v>
      </c>
      <c r="H2793" s="80">
        <v>540</v>
      </c>
      <c r="I2793" s="80" t="s">
        <v>352</v>
      </c>
    </row>
    <row r="2794" spans="2:9" ht="12.75">
      <c r="B2794" s="79" t="s">
        <v>319</v>
      </c>
      <c r="C2794" s="81">
        <f>(6/5)^1.8*E2794</f>
        <v>75.3088340406276</v>
      </c>
      <c r="D2794" s="80">
        <v>74.57</v>
      </c>
      <c r="E2794" s="80">
        <v>54.24</v>
      </c>
      <c r="F2794" s="82">
        <f>-((D2794-C2794)/D2794)</f>
        <v>0.009907925984009771</v>
      </c>
      <c r="G2794" s="81">
        <f>C2794-D2794</f>
        <v>0.7388340406276086</v>
      </c>
      <c r="H2794" s="80">
        <v>540</v>
      </c>
      <c r="I2794" s="80" t="s">
        <v>352</v>
      </c>
    </row>
    <row r="2795" spans="2:9" ht="12.75">
      <c r="B2795" s="79" t="s">
        <v>320</v>
      </c>
      <c r="C2795" s="81">
        <f>(6/5)^1.8*E2795</f>
        <v>73.10121888346318</v>
      </c>
      <c r="D2795" s="80">
        <v>73.9</v>
      </c>
      <c r="E2795" s="80">
        <v>52.65</v>
      </c>
      <c r="F2795" s="82">
        <f>-((D2795-C2795)/D2795)</f>
        <v>-0.010808946096574153</v>
      </c>
      <c r="G2795" s="81">
        <f>C2795-D2795</f>
        <v>-0.7987811165368299</v>
      </c>
      <c r="H2795" s="80">
        <v>540</v>
      </c>
      <c r="I2795" s="80" t="s">
        <v>352</v>
      </c>
    </row>
    <row r="2796" spans="2:9" ht="12.75">
      <c r="B2796" s="79" t="s">
        <v>284</v>
      </c>
      <c r="C2796" s="81">
        <f>(6/5)^1.8*E2796</f>
        <v>71.24071302773972</v>
      </c>
      <c r="D2796" s="80">
        <v>73.71</v>
      </c>
      <c r="E2796" s="80">
        <v>51.31</v>
      </c>
      <c r="F2796" s="82">
        <f>-((D2796-C2796)/D2796)</f>
        <v>-0.03350002675702453</v>
      </c>
      <c r="G2796" s="81">
        <f>C2796-D2796</f>
        <v>-2.469286972260278</v>
      </c>
      <c r="H2796" s="80">
        <v>540</v>
      </c>
      <c r="I2796" s="80" t="s">
        <v>352</v>
      </c>
    </row>
    <row r="2797" spans="2:9" ht="12.75">
      <c r="B2797" s="79" t="s">
        <v>285</v>
      </c>
      <c r="C2797" s="81">
        <f>(6/5)^1.8*E2797</f>
        <v>80.86258286368273</v>
      </c>
      <c r="D2797" s="80">
        <v>80.27</v>
      </c>
      <c r="E2797" s="80">
        <v>58.24</v>
      </c>
      <c r="F2797" s="82">
        <f>-((D2797-C2797)/D2797)</f>
        <v>0.007382370296284243</v>
      </c>
      <c r="G2797" s="81">
        <f>C2797-D2797</f>
        <v>0.5925828636827362</v>
      </c>
      <c r="H2797" s="80">
        <v>540</v>
      </c>
      <c r="I2797" s="80" t="s">
        <v>352</v>
      </c>
    </row>
    <row r="2798" spans="2:9" ht="12.75">
      <c r="B2798" s="79" t="s">
        <v>286</v>
      </c>
      <c r="C2798" s="81">
        <f>(6/5)^1.8*E2798</f>
        <v>60.59139965953149</v>
      </c>
      <c r="D2798" s="80">
        <v>61.44</v>
      </c>
      <c r="E2798" s="80">
        <v>43.64</v>
      </c>
      <c r="F2798" s="82">
        <f>-((D2798-C2798)/D2798)</f>
        <v>-0.013811854499812953</v>
      </c>
      <c r="G2798" s="81">
        <f>C2798-D2798</f>
        <v>-0.8486003404685079</v>
      </c>
      <c r="H2798" s="80">
        <v>540</v>
      </c>
      <c r="I2798" s="80" t="s">
        <v>352</v>
      </c>
    </row>
    <row r="2799" spans="2:9" ht="12.75">
      <c r="B2799" s="79" t="s">
        <v>289</v>
      </c>
      <c r="C2799" s="81">
        <f>(6/5)^1.8*E2799</f>
        <v>55.44029762614786</v>
      </c>
      <c r="D2799" s="80">
        <v>57.98</v>
      </c>
      <c r="E2799" s="80">
        <v>39.93</v>
      </c>
      <c r="F2799" s="82">
        <f>-((D2799-C2799)/D2799)</f>
        <v>-0.04380307647209619</v>
      </c>
      <c r="G2799" s="81">
        <f>C2799-D2799</f>
        <v>-2.539702373852137</v>
      </c>
      <c r="H2799" s="80">
        <v>540</v>
      </c>
      <c r="I2799" s="80" t="s">
        <v>352</v>
      </c>
    </row>
    <row r="2800" spans="2:9" ht="12.75">
      <c r="B2800" s="79" t="s">
        <v>308</v>
      </c>
      <c r="C2800" s="81">
        <f>(6/5)^1.8*E2800</f>
        <v>65.95076727377969</v>
      </c>
      <c r="D2800" s="80">
        <v>64.07</v>
      </c>
      <c r="E2800" s="80">
        <v>47.5</v>
      </c>
      <c r="F2800" s="82">
        <f>-((D2800-C2800)/D2800)</f>
        <v>0.02935488175089272</v>
      </c>
      <c r="G2800" s="81">
        <f>C2800-D2800</f>
        <v>1.8807672737796963</v>
      </c>
      <c r="H2800" s="80">
        <v>540</v>
      </c>
      <c r="I2800" s="80" t="s">
        <v>352</v>
      </c>
    </row>
    <row r="2801" spans="1:9" ht="12.75">
      <c r="A2801" s="5"/>
      <c r="B2801" s="79" t="s">
        <v>287</v>
      </c>
      <c r="C2801" s="81">
        <f>(6/5)^1.8*E2801</f>
        <v>60.36924970660928</v>
      </c>
      <c r="D2801" s="80">
        <v>60.96</v>
      </c>
      <c r="E2801" s="80">
        <v>43.48</v>
      </c>
      <c r="F2801" s="82">
        <f>-((D2801-C2801)/D2801)</f>
        <v>-0.009690785652734901</v>
      </c>
      <c r="G2801" s="81">
        <f>C2801-D2801</f>
        <v>-0.5907502933907196</v>
      </c>
      <c r="H2801" s="80">
        <v>540</v>
      </c>
      <c r="I2801" s="80" t="s">
        <v>352</v>
      </c>
    </row>
    <row r="2802" spans="1:9" ht="12.75">
      <c r="A2802" s="5"/>
      <c r="B2802" s="79" t="s">
        <v>242</v>
      </c>
      <c r="C2802" s="81">
        <f>(6/5)^1.8*E2802</f>
        <v>49.775473826631625</v>
      </c>
      <c r="D2802" s="80">
        <v>49.92</v>
      </c>
      <c r="E2802" s="80">
        <v>35.85</v>
      </c>
      <c r="F2802" s="82">
        <f>-((D2802-C2802)/D2802)</f>
        <v>-0.002895155716513952</v>
      </c>
      <c r="G2802" s="81">
        <f>C2802-D2802</f>
        <v>-0.14452617336837648</v>
      </c>
      <c r="H2802" s="80">
        <v>540</v>
      </c>
      <c r="I2802" s="80" t="s">
        <v>352</v>
      </c>
    </row>
    <row r="2803" spans="2:9" ht="12.75">
      <c r="B2803" s="79" t="s">
        <v>243</v>
      </c>
      <c r="C2803" s="81">
        <f>(6/5)^1.8*E2803</f>
        <v>48.66472406202059</v>
      </c>
      <c r="D2803" s="80">
        <v>48.69</v>
      </c>
      <c r="E2803" s="80">
        <v>35.05</v>
      </c>
      <c r="F2803" s="82">
        <f>-((D2803-C2803)/D2803)</f>
        <v>-0.0005191196956132373</v>
      </c>
      <c r="G2803" s="81">
        <f>C2803-D2803</f>
        <v>-0.025275937979408525</v>
      </c>
      <c r="H2803" s="80">
        <v>540</v>
      </c>
      <c r="I2803" s="80" t="s">
        <v>352</v>
      </c>
    </row>
    <row r="2804" spans="2:9" ht="12.75">
      <c r="B2804" s="79"/>
      <c r="C2804" s="81"/>
      <c r="D2804" s="80"/>
      <c r="E2804" s="80" t="s">
        <v>14</v>
      </c>
      <c r="F2804" s="82">
        <f>AVERAGE(F2785:F2803)</f>
        <v>0.0013680212234808298</v>
      </c>
      <c r="G2804" s="81">
        <f>AVERAGE(G2785:G2803)</f>
        <v>0.06376254867624678</v>
      </c>
      <c r="H2804" s="80"/>
      <c r="I2804" s="80"/>
    </row>
    <row r="2805" spans="2:9" ht="12.75">
      <c r="B2805" s="79"/>
      <c r="C2805" s="81"/>
      <c r="D2805" s="80"/>
      <c r="E2805" s="80"/>
      <c r="F2805" s="82"/>
      <c r="G2805" s="81"/>
      <c r="H2805" s="80"/>
      <c r="I2805" s="80"/>
    </row>
    <row r="2806" spans="1:9" ht="12.75">
      <c r="A2806" s="83" t="s">
        <v>0</v>
      </c>
      <c r="B2806" s="83" t="s">
        <v>1</v>
      </c>
      <c r="C2806" s="84" t="s">
        <v>247</v>
      </c>
      <c r="D2806" s="84" t="s">
        <v>194</v>
      </c>
      <c r="E2806" s="84" t="s">
        <v>218</v>
      </c>
      <c r="F2806" s="84" t="s">
        <v>5</v>
      </c>
      <c r="G2806" s="84" t="s">
        <v>6</v>
      </c>
      <c r="H2806" s="84" t="s">
        <v>7</v>
      </c>
      <c r="I2806" s="84" t="s">
        <v>8</v>
      </c>
    </row>
    <row r="2807" spans="1:9" ht="12.75">
      <c r="A2807" s="83" t="s">
        <v>355</v>
      </c>
      <c r="B2807" s="83" t="s">
        <v>334</v>
      </c>
      <c r="C2807" s="85">
        <f>(6/5)^2*E2807</f>
        <v>94.8096</v>
      </c>
      <c r="D2807" s="84">
        <v>86.5</v>
      </c>
      <c r="E2807" s="84">
        <v>65.84</v>
      </c>
      <c r="F2807" s="86">
        <f>-((D2807-C2807)/D2807)</f>
        <v>0.0960647398843931</v>
      </c>
      <c r="G2807" s="85">
        <f>C2807-D2807</f>
        <v>8.309600000000003</v>
      </c>
      <c r="H2807" s="84">
        <v>540</v>
      </c>
      <c r="I2807" s="84" t="s">
        <v>352</v>
      </c>
    </row>
    <row r="2808" spans="1:9" ht="12.75">
      <c r="A2808" s="5"/>
      <c r="B2808" s="83" t="s">
        <v>316</v>
      </c>
      <c r="C2808" s="85">
        <f>(6/5)^2*E2808</f>
        <v>80.0208</v>
      </c>
      <c r="D2808" s="84">
        <v>73.85</v>
      </c>
      <c r="E2808" s="84">
        <v>55.57</v>
      </c>
      <c r="F2808" s="86">
        <f>-((D2808-C2808)/D2808)</f>
        <v>0.08355856465809072</v>
      </c>
      <c r="G2808" s="85">
        <f>C2808-D2808</f>
        <v>6.1708</v>
      </c>
      <c r="H2808" s="84">
        <v>540</v>
      </c>
      <c r="I2808" s="84" t="s">
        <v>352</v>
      </c>
    </row>
    <row r="2809" spans="1:9" ht="12.75">
      <c r="A2809" s="5"/>
      <c r="B2809" s="83" t="s">
        <v>312</v>
      </c>
      <c r="C2809" s="85">
        <f>(6/5)^2*E2809</f>
        <v>68.7456</v>
      </c>
      <c r="D2809" s="84">
        <v>64.28</v>
      </c>
      <c r="E2809" s="84">
        <v>47.74</v>
      </c>
      <c r="F2809" s="86">
        <f>-((D2809-C2809)/D2809)</f>
        <v>0.0694710640945861</v>
      </c>
      <c r="G2809" s="85">
        <f>C2809-D2809</f>
        <v>4.465599999999995</v>
      </c>
      <c r="H2809" s="84">
        <v>540</v>
      </c>
      <c r="I2809" s="84" t="s">
        <v>352</v>
      </c>
    </row>
    <row r="2810" spans="1:9" ht="12.75">
      <c r="A2810" s="5"/>
      <c r="B2810" s="83" t="s">
        <v>300</v>
      </c>
      <c r="C2810" s="85">
        <f>(6/5)^2*E2810</f>
        <v>61.6464</v>
      </c>
      <c r="D2810" s="84">
        <v>57.24</v>
      </c>
      <c r="E2810" s="84">
        <v>42.81</v>
      </c>
      <c r="F2810" s="86">
        <f>-((D2810-C2810)/D2810)</f>
        <v>0.07698113207547166</v>
      </c>
      <c r="G2810" s="85">
        <f>C2810-D2810</f>
        <v>4.406399999999998</v>
      </c>
      <c r="H2810" s="84">
        <v>540</v>
      </c>
      <c r="I2810" s="84" t="s">
        <v>352</v>
      </c>
    </row>
    <row r="2811" spans="1:9" ht="12.75">
      <c r="A2811" s="5"/>
      <c r="B2811" s="83" t="s">
        <v>299</v>
      </c>
      <c r="C2811" s="85">
        <f>(6/5)^2*E2811</f>
        <v>43.488</v>
      </c>
      <c r="D2811" s="84">
        <v>40.72</v>
      </c>
      <c r="E2811" s="84">
        <v>30.2</v>
      </c>
      <c r="F2811" s="86">
        <f>-((D2811-C2811)/D2811)</f>
        <v>0.06797642436149315</v>
      </c>
      <c r="G2811" s="85">
        <f>C2811-D2811</f>
        <v>2.7680000000000007</v>
      </c>
      <c r="H2811" s="84">
        <v>540</v>
      </c>
      <c r="I2811" s="84" t="s">
        <v>352</v>
      </c>
    </row>
    <row r="2812" spans="1:9" ht="12.75">
      <c r="A2812" s="5"/>
      <c r="B2812" s="83" t="s">
        <v>335</v>
      </c>
      <c r="C2812" s="85">
        <f>(6/5)^2*E2812</f>
        <v>113.5872</v>
      </c>
      <c r="D2812" s="84">
        <v>112.45</v>
      </c>
      <c r="E2812" s="84">
        <v>78.88</v>
      </c>
      <c r="F2812" s="86">
        <f>-((D2812-C2812)/D2812)</f>
        <v>0.010112939084037287</v>
      </c>
      <c r="G2812" s="85">
        <f>C2812-D2812</f>
        <v>1.1371999999999929</v>
      </c>
      <c r="H2812" s="84">
        <v>540</v>
      </c>
      <c r="I2812" s="84" t="s">
        <v>352</v>
      </c>
    </row>
    <row r="2813" spans="1:9" ht="12.75">
      <c r="A2813" s="5"/>
      <c r="B2813" s="83" t="s">
        <v>317</v>
      </c>
      <c r="C2813" s="85">
        <f>(6/5)^2*E2813</f>
        <v>81.216</v>
      </c>
      <c r="D2813" s="84">
        <v>78.71</v>
      </c>
      <c r="E2813" s="84">
        <v>56.4</v>
      </c>
      <c r="F2813" s="86">
        <f>-((D2813-C2813)/D2813)</f>
        <v>0.0318383941049422</v>
      </c>
      <c r="G2813" s="85">
        <f>C2813-D2813</f>
        <v>2.5060000000000002</v>
      </c>
      <c r="H2813" s="84">
        <v>540</v>
      </c>
      <c r="I2813" s="84" t="s">
        <v>352</v>
      </c>
    </row>
    <row r="2814" spans="1:9" ht="12.75">
      <c r="A2814" s="5"/>
      <c r="B2814" s="83" t="s">
        <v>283</v>
      </c>
      <c r="C2814" s="85">
        <f>(6/5)^2*E2814</f>
        <v>75.5568</v>
      </c>
      <c r="D2814" s="84">
        <v>75.17</v>
      </c>
      <c r="E2814" s="84">
        <v>52.47</v>
      </c>
      <c r="F2814" s="86">
        <f>-((D2814-C2814)/D2814)</f>
        <v>0.005145669815085723</v>
      </c>
      <c r="G2814" s="85">
        <f>C2814-D2814</f>
        <v>0.3867999999999938</v>
      </c>
      <c r="H2814" s="84">
        <v>540</v>
      </c>
      <c r="I2814" s="84" t="s">
        <v>352</v>
      </c>
    </row>
    <row r="2815" spans="1:9" ht="12.75">
      <c r="A2815" s="5"/>
      <c r="B2815" s="83" t="s">
        <v>288</v>
      </c>
      <c r="C2815" s="85">
        <f>(6/5)^2*E2815</f>
        <v>57.139199999999995</v>
      </c>
      <c r="D2815" s="84">
        <v>57.66</v>
      </c>
      <c r="E2815" s="84">
        <v>39.68</v>
      </c>
      <c r="F2815" s="86">
        <f>-((D2815-C2815)/D2815)</f>
        <v>-0.00903225806451615</v>
      </c>
      <c r="G2815" s="85">
        <f>C2815-D2815</f>
        <v>-0.5208000000000013</v>
      </c>
      <c r="H2815" s="84">
        <v>540</v>
      </c>
      <c r="I2815" s="84" t="s">
        <v>352</v>
      </c>
    </row>
    <row r="2816" spans="1:9" ht="12.75">
      <c r="A2816" s="5"/>
      <c r="B2816" s="83" t="s">
        <v>319</v>
      </c>
      <c r="C2816" s="85">
        <f>(6/5)^2*E2816</f>
        <v>78.1056</v>
      </c>
      <c r="D2816" s="84">
        <v>74.57</v>
      </c>
      <c r="E2816" s="84">
        <v>54.24</v>
      </c>
      <c r="F2816" s="86">
        <f>-((D2816-C2816)/D2816)</f>
        <v>0.04741316883465204</v>
      </c>
      <c r="G2816" s="85">
        <f>C2816-D2816</f>
        <v>3.5356000000000023</v>
      </c>
      <c r="H2816" s="84">
        <v>540</v>
      </c>
      <c r="I2816" s="84" t="s">
        <v>352</v>
      </c>
    </row>
    <row r="2817" spans="1:9" ht="12.75">
      <c r="A2817" s="5"/>
      <c r="B2817" s="83" t="s">
        <v>320</v>
      </c>
      <c r="C2817" s="85">
        <f>(6/5)^2*E2817</f>
        <v>75.81599999999999</v>
      </c>
      <c r="D2817" s="84">
        <v>73.9</v>
      </c>
      <c r="E2817" s="84">
        <v>52.65</v>
      </c>
      <c r="F2817" s="86">
        <f>-((D2817-C2817)/D2817)</f>
        <v>0.025926928281461196</v>
      </c>
      <c r="G2817" s="85">
        <f>C2817-D2817</f>
        <v>1.9159999999999826</v>
      </c>
      <c r="H2817" s="84">
        <v>540</v>
      </c>
      <c r="I2817" s="84" t="s">
        <v>352</v>
      </c>
    </row>
    <row r="2818" spans="1:9" ht="12.75">
      <c r="A2818" s="5"/>
      <c r="B2818" s="83" t="s">
        <v>284</v>
      </c>
      <c r="C2818" s="85">
        <f>(6/5)^2*E2818</f>
        <v>73.8864</v>
      </c>
      <c r="D2818" s="84">
        <v>73.71</v>
      </c>
      <c r="E2818" s="84">
        <v>51.31</v>
      </c>
      <c r="F2818" s="86">
        <f>-((D2818-C2818)/D2818)</f>
        <v>0.002393162393162407</v>
      </c>
      <c r="G2818" s="85">
        <f>C2818-D2818</f>
        <v>0.176400000000001</v>
      </c>
      <c r="H2818" s="84">
        <v>540</v>
      </c>
      <c r="I2818" s="84" t="s">
        <v>352</v>
      </c>
    </row>
    <row r="2819" spans="1:9" ht="12.75">
      <c r="A2819" s="5"/>
      <c r="B2819" s="83" t="s">
        <v>285</v>
      </c>
      <c r="C2819" s="85">
        <f>(6/5)^2*E2819</f>
        <v>83.8656</v>
      </c>
      <c r="D2819" s="84">
        <v>80.27</v>
      </c>
      <c r="E2819" s="84">
        <v>58.24</v>
      </c>
      <c r="F2819" s="86">
        <f>-((D2819-C2819)/D2819)</f>
        <v>0.04479382085461573</v>
      </c>
      <c r="G2819" s="85">
        <f>C2819-D2819</f>
        <v>3.5956000000000046</v>
      </c>
      <c r="H2819" s="84">
        <v>540</v>
      </c>
      <c r="I2819" s="84" t="s">
        <v>352</v>
      </c>
    </row>
    <row r="2820" spans="1:9" ht="12.75">
      <c r="A2820" s="5"/>
      <c r="B2820" s="83" t="s">
        <v>286</v>
      </c>
      <c r="C2820" s="85">
        <f>(6/5)^2*E2820</f>
        <v>62.8416</v>
      </c>
      <c r="D2820" s="84">
        <v>61.44</v>
      </c>
      <c r="E2820" s="84">
        <v>43.64</v>
      </c>
      <c r="F2820" s="86">
        <f>-((D2820-C2820)/D2820)</f>
        <v>0.022812500000000034</v>
      </c>
      <c r="G2820" s="85">
        <f>C2820-D2820</f>
        <v>1.401600000000002</v>
      </c>
      <c r="H2820" s="84">
        <v>540</v>
      </c>
      <c r="I2820" s="84" t="s">
        <v>352</v>
      </c>
    </row>
    <row r="2821" spans="1:9" ht="12.75">
      <c r="A2821" s="5"/>
      <c r="B2821" s="83" t="s">
        <v>289</v>
      </c>
      <c r="C2821" s="85">
        <f>(6/5)^2*E2821</f>
        <v>57.499199999999995</v>
      </c>
      <c r="D2821" s="84">
        <v>57.98</v>
      </c>
      <c r="E2821" s="84">
        <v>39.93</v>
      </c>
      <c r="F2821" s="86">
        <f>-((D2821-C2821)/D2821)</f>
        <v>-0.008292514660227701</v>
      </c>
      <c r="G2821" s="85">
        <f>C2821-D2821</f>
        <v>-0.4808000000000021</v>
      </c>
      <c r="H2821" s="84">
        <v>540</v>
      </c>
      <c r="I2821" s="84" t="s">
        <v>352</v>
      </c>
    </row>
    <row r="2822" spans="1:9" ht="12.75">
      <c r="A2822" s="5"/>
      <c r="B2822" s="83" t="s">
        <v>308</v>
      </c>
      <c r="C2822" s="85">
        <f>(6/5)^2*E2822</f>
        <v>68.39999999999999</v>
      </c>
      <c r="D2822" s="84">
        <v>64.07</v>
      </c>
      <c r="E2822" s="84">
        <v>47.5</v>
      </c>
      <c r="F2822" s="86">
        <f>-((D2822-C2822)/D2822)</f>
        <v>0.06758233182456685</v>
      </c>
      <c r="G2822" s="85">
        <f>C2822-D2822</f>
        <v>4.329999999999998</v>
      </c>
      <c r="H2822" s="84">
        <v>540</v>
      </c>
      <c r="I2822" s="84" t="s">
        <v>352</v>
      </c>
    </row>
    <row r="2823" spans="1:9" ht="12.75">
      <c r="A2823" s="5"/>
      <c r="B2823" s="83" t="s">
        <v>287</v>
      </c>
      <c r="C2823" s="85">
        <f>(6/5)^2*E2823</f>
        <v>62.6112</v>
      </c>
      <c r="D2823" s="84">
        <v>60.96</v>
      </c>
      <c r="E2823" s="84">
        <v>43.48</v>
      </c>
      <c r="F2823" s="86">
        <f>-((D2823-C2823)/D2823)</f>
        <v>0.027086614173228277</v>
      </c>
      <c r="G2823" s="85">
        <f>C2823-D2823</f>
        <v>1.6511999999999958</v>
      </c>
      <c r="H2823" s="84">
        <v>540</v>
      </c>
      <c r="I2823" s="84" t="s">
        <v>352</v>
      </c>
    </row>
    <row r="2824" spans="1:9" ht="12.75">
      <c r="A2824" s="5"/>
      <c r="B2824" s="83" t="s">
        <v>242</v>
      </c>
      <c r="C2824" s="85">
        <f>(6/5)^2*E2824</f>
        <v>51.624</v>
      </c>
      <c r="D2824" s="84">
        <v>49.92</v>
      </c>
      <c r="E2824" s="84">
        <v>35.85</v>
      </c>
      <c r="F2824" s="86">
        <f>-((D2824-C2824)/D2824)</f>
        <v>0.034134615384615395</v>
      </c>
      <c r="G2824" s="85">
        <f>C2824-D2824</f>
        <v>1.7040000000000006</v>
      </c>
      <c r="H2824" s="84">
        <v>540</v>
      </c>
      <c r="I2824" s="84" t="s">
        <v>352</v>
      </c>
    </row>
    <row r="2825" spans="1:9" ht="12.75">
      <c r="A2825" s="5"/>
      <c r="B2825" s="83" t="s">
        <v>243</v>
      </c>
      <c r="C2825" s="85">
        <f>(6/5)^2*E2825</f>
        <v>50.471999999999994</v>
      </c>
      <c r="D2825" s="84">
        <v>48.69</v>
      </c>
      <c r="E2825" s="84">
        <v>35.05</v>
      </c>
      <c r="F2825" s="86">
        <f>-((D2825-C2825)/D2825)</f>
        <v>0.036598890942698636</v>
      </c>
      <c r="G2825" s="85">
        <f>C2825-D2825</f>
        <v>1.7819999999999965</v>
      </c>
      <c r="H2825" s="84">
        <v>540</v>
      </c>
      <c r="I2825" s="84" t="s">
        <v>352</v>
      </c>
    </row>
    <row r="2826" spans="1:9" ht="12.75">
      <c r="A2826" s="5"/>
      <c r="B2826" s="83"/>
      <c r="C2826" s="85"/>
      <c r="D2826" s="84"/>
      <c r="E2826" s="84" t="s">
        <v>14</v>
      </c>
      <c r="F2826" s="86">
        <f>AVERAGE(F2807:F2825)</f>
        <v>0.03855611516012404</v>
      </c>
      <c r="G2826" s="85">
        <f>AVERAGE(G2807:G2825)</f>
        <v>2.591642105263156</v>
      </c>
      <c r="H2826" s="84"/>
      <c r="I2826" s="84"/>
    </row>
    <row r="2827" spans="1:9" ht="12.75">
      <c r="A2827" s="5"/>
      <c r="B2827" s="83"/>
      <c r="C2827" s="85"/>
      <c r="D2827" s="84"/>
      <c r="E2827" s="84"/>
      <c r="F2827" s="86"/>
      <c r="G2827" s="85"/>
      <c r="H2827" s="84"/>
      <c r="I2827" s="84"/>
    </row>
    <row r="2828" spans="1:9" ht="12.75">
      <c r="A2828" s="69" t="s">
        <v>0</v>
      </c>
      <c r="B2828" s="69" t="s">
        <v>1</v>
      </c>
      <c r="C2828" s="70" t="s">
        <v>357</v>
      </c>
      <c r="D2828" s="70" t="s">
        <v>218</v>
      </c>
      <c r="E2828" s="70" t="s">
        <v>73</v>
      </c>
      <c r="F2828" s="70" t="s">
        <v>5</v>
      </c>
      <c r="G2828" s="70" t="s">
        <v>6</v>
      </c>
      <c r="H2828" s="70" t="s">
        <v>7</v>
      </c>
      <c r="I2828" s="70" t="s">
        <v>8</v>
      </c>
    </row>
    <row r="2829" spans="1:9" ht="12.75">
      <c r="A2829" s="69" t="s">
        <v>358</v>
      </c>
      <c r="B2829" s="69" t="s">
        <v>339</v>
      </c>
      <c r="C2829" s="71">
        <f>(5/4)^1.61*E2829</f>
        <v>52.14897778430684</v>
      </c>
      <c r="D2829" s="70">
        <v>51.06</v>
      </c>
      <c r="E2829" s="70">
        <v>36.41</v>
      </c>
      <c r="F2829" s="72">
        <f>-((D2829-C2829)/D2829)</f>
        <v>0.021327414498762916</v>
      </c>
      <c r="G2829" s="71">
        <f>C2829-D2829</f>
        <v>1.0889777843068345</v>
      </c>
      <c r="H2829" s="70">
        <v>420</v>
      </c>
      <c r="I2829" s="70" t="s">
        <v>352</v>
      </c>
    </row>
    <row r="2830" spans="2:9" ht="12.75">
      <c r="B2830" s="69" t="s">
        <v>340</v>
      </c>
      <c r="C2830" s="71">
        <f>(5/4)^1.61*E2830</f>
        <v>41.06320222675301</v>
      </c>
      <c r="D2830" s="70">
        <v>40.47</v>
      </c>
      <c r="E2830" s="70">
        <v>28.67</v>
      </c>
      <c r="F2830" s="72">
        <f>-((D2830-C2830)/D2830)</f>
        <v>0.014657826210847897</v>
      </c>
      <c r="G2830" s="71">
        <f>C2830-D2830</f>
        <v>0.5932022267530144</v>
      </c>
      <c r="H2830" s="70">
        <v>420</v>
      </c>
      <c r="I2830" s="70" t="s">
        <v>352</v>
      </c>
    </row>
    <row r="2831" spans="2:9" ht="12.75">
      <c r="B2831" s="69" t="s">
        <v>341</v>
      </c>
      <c r="C2831" s="71">
        <f>(5/4)^1.61*E2831</f>
        <v>35.2052148843247</v>
      </c>
      <c r="D2831" s="70">
        <v>34.94</v>
      </c>
      <c r="E2831" s="70">
        <v>24.58</v>
      </c>
      <c r="F2831" s="72">
        <f>-((D2831-C2831)/D2831)</f>
        <v>0.007590580547358303</v>
      </c>
      <c r="G2831" s="71">
        <f>C2831-D2831</f>
        <v>0.2652148843246991</v>
      </c>
      <c r="H2831" s="70">
        <v>420</v>
      </c>
      <c r="I2831" s="70" t="s">
        <v>352</v>
      </c>
    </row>
    <row r="2832" spans="2:9" ht="12.75">
      <c r="B2832" s="69" t="s">
        <v>359</v>
      </c>
      <c r="C2832" s="71">
        <f>(5/4)^1.61*E2832</f>
        <v>72.5445131770157</v>
      </c>
      <c r="D2832" s="70">
        <v>70.03</v>
      </c>
      <c r="E2832" s="70">
        <v>50.65</v>
      </c>
      <c r="F2832" s="72">
        <f>-((D2832-C2832)/D2832)</f>
        <v>0.03590622843089677</v>
      </c>
      <c r="G2832" s="71">
        <f>C2832-D2832</f>
        <v>2.5145131770157008</v>
      </c>
      <c r="H2832" s="70">
        <v>420</v>
      </c>
      <c r="I2832" s="70" t="s">
        <v>352</v>
      </c>
    </row>
    <row r="2833" spans="2:9" ht="12.75">
      <c r="B2833" s="69" t="s">
        <v>360</v>
      </c>
      <c r="C2833" s="71">
        <f>(5/4)^1.61*E2833</f>
        <v>62.57590879968047</v>
      </c>
      <c r="D2833" s="70">
        <v>62.89</v>
      </c>
      <c r="E2833" s="70">
        <v>43.69</v>
      </c>
      <c r="F2833" s="72">
        <f>-((D2833-C2833)/D2833)</f>
        <v>-0.004994294805526015</v>
      </c>
      <c r="G2833" s="71">
        <f>C2833-D2833</f>
        <v>-0.3140912003195311</v>
      </c>
      <c r="H2833" s="70">
        <v>420</v>
      </c>
      <c r="I2833" s="70" t="s">
        <v>352</v>
      </c>
    </row>
    <row r="2834" spans="2:9" ht="12.75">
      <c r="B2834" s="69" t="s">
        <v>361</v>
      </c>
      <c r="C2834" s="71">
        <f>(5/4)^1.61*E2834</f>
        <v>60.51343892850767</v>
      </c>
      <c r="D2834" s="70">
        <v>59.65</v>
      </c>
      <c r="E2834" s="70">
        <v>42.25</v>
      </c>
      <c r="F2834" s="72">
        <f>-((D2834-C2834)/D2834)</f>
        <v>0.014475086814881298</v>
      </c>
      <c r="G2834" s="71">
        <f>C2834-D2834</f>
        <v>0.8634389285076693</v>
      </c>
      <c r="H2834" s="70">
        <v>420</v>
      </c>
      <c r="I2834" s="70" t="s">
        <v>352</v>
      </c>
    </row>
    <row r="2835" spans="2:9" ht="12.75">
      <c r="B2835" s="69" t="s">
        <v>362</v>
      </c>
      <c r="C2835" s="71">
        <f>(5/4)^1.61*E2835</f>
        <v>59.74001272681787</v>
      </c>
      <c r="D2835" s="70">
        <v>60.77</v>
      </c>
      <c r="E2835" s="70">
        <v>41.71</v>
      </c>
      <c r="F2835" s="72">
        <f>-((D2835-C2835)/D2835)</f>
        <v>-0.01694894311637546</v>
      </c>
      <c r="G2835" s="71">
        <f>C2835-D2835</f>
        <v>-1.0299872731821367</v>
      </c>
      <c r="H2835" s="70">
        <v>420</v>
      </c>
      <c r="I2835" s="70" t="s">
        <v>352</v>
      </c>
    </row>
    <row r="2836" spans="2:9" ht="12.75">
      <c r="B2836" s="69" t="s">
        <v>363</v>
      </c>
      <c r="C2836" s="71">
        <f>(5/4)^1.61*E2836</f>
        <v>70.6395930876686</v>
      </c>
      <c r="D2836" s="70">
        <v>69.01</v>
      </c>
      <c r="E2836" s="70">
        <v>49.32</v>
      </c>
      <c r="F2836" s="72">
        <f>-((D2836-C2836)/D2836)</f>
        <v>0.023613868825801996</v>
      </c>
      <c r="G2836" s="71">
        <f>C2836-D2836</f>
        <v>1.6295930876685958</v>
      </c>
      <c r="H2836" s="70">
        <v>420</v>
      </c>
      <c r="I2836" s="70" t="s">
        <v>352</v>
      </c>
    </row>
    <row r="2837" spans="2:9" ht="12.75">
      <c r="B2837" s="69" t="s">
        <v>364</v>
      </c>
      <c r="C2837" s="71">
        <f>(5/4)^1.61*E2837</f>
        <v>53.12292189013845</v>
      </c>
      <c r="D2837" s="70">
        <v>53.08</v>
      </c>
      <c r="E2837" s="70">
        <v>37.09</v>
      </c>
      <c r="F2837" s="72">
        <f>-((D2837-C2837)/D2837)</f>
        <v>0.0008086264155699247</v>
      </c>
      <c r="G2837" s="71">
        <f>C2837-D2837</f>
        <v>0.0429218901384516</v>
      </c>
      <c r="H2837" s="70">
        <v>420</v>
      </c>
      <c r="I2837" s="70" t="s">
        <v>352</v>
      </c>
    </row>
    <row r="2838" spans="2:9" ht="12.75">
      <c r="B2838" s="69" t="s">
        <v>342</v>
      </c>
      <c r="C2838" s="71">
        <f>(5/4)^1.61*E2838</f>
        <v>46.104795245175424</v>
      </c>
      <c r="D2838" s="70">
        <v>45.88</v>
      </c>
      <c r="E2838" s="70">
        <v>32.19</v>
      </c>
      <c r="F2838" s="72">
        <f>-((D2838-C2838)/D2838)</f>
        <v>0.004899634812018779</v>
      </c>
      <c r="G2838" s="71">
        <f>C2838-D2838</f>
        <v>0.2247952451754216</v>
      </c>
      <c r="H2838" s="70">
        <v>420</v>
      </c>
      <c r="I2838" s="70" t="s">
        <v>352</v>
      </c>
    </row>
    <row r="2839" spans="2:9" ht="12.75">
      <c r="B2839" s="69" t="s">
        <v>365</v>
      </c>
      <c r="C2839" s="71">
        <f>(5/4)^1.61*E2839</f>
        <v>57.77780180771597</v>
      </c>
      <c r="D2839" s="70">
        <v>57.6</v>
      </c>
      <c r="E2839" s="70">
        <v>40.34</v>
      </c>
      <c r="F2839" s="72">
        <f>-((D2839-C2839)/D2839)</f>
        <v>0.0030868369395132943</v>
      </c>
      <c r="G2839" s="71">
        <f>C2839-D2839</f>
        <v>0.17780180771596577</v>
      </c>
      <c r="H2839" s="70">
        <v>420</v>
      </c>
      <c r="I2839" s="70" t="s">
        <v>352</v>
      </c>
    </row>
    <row r="2840" spans="2:9" ht="12.75">
      <c r="B2840" s="69" t="s">
        <v>343</v>
      </c>
      <c r="C2840" s="71">
        <f>(5/4)^1.61*E2840</f>
        <v>50.630770795804644</v>
      </c>
      <c r="D2840" s="70">
        <v>51.95</v>
      </c>
      <c r="E2840" s="70">
        <v>35.35</v>
      </c>
      <c r="F2840" s="72">
        <f>-((D2840-C2840)/D2840)</f>
        <v>-0.025394209897889493</v>
      </c>
      <c r="G2840" s="71">
        <f>C2840-D2840</f>
        <v>-1.3192292041953593</v>
      </c>
      <c r="H2840" s="70">
        <v>420</v>
      </c>
      <c r="I2840" s="70" t="s">
        <v>352</v>
      </c>
    </row>
    <row r="2841" spans="2:9" ht="12.75">
      <c r="B2841" s="69" t="s">
        <v>344</v>
      </c>
      <c r="C2841" s="71">
        <f>(5/4)^1.61*E2841</f>
        <v>42.309277773919916</v>
      </c>
      <c r="D2841" s="70">
        <v>44.01</v>
      </c>
      <c r="E2841" s="70">
        <v>29.54</v>
      </c>
      <c r="F2841" s="72">
        <f>-((D2841-C2841)/D2841)</f>
        <v>-0.03864399513928838</v>
      </c>
      <c r="G2841" s="71">
        <f>C2841-D2841</f>
        <v>-1.7007222260800816</v>
      </c>
      <c r="H2841" s="70">
        <v>420</v>
      </c>
      <c r="I2841" s="70" t="s">
        <v>352</v>
      </c>
    </row>
    <row r="2842" spans="2:9" ht="12.75">
      <c r="B2842" s="69" t="s">
        <v>366</v>
      </c>
      <c r="C2842" s="71">
        <f>(5/4)^1.61*E2842</f>
        <v>53.10859918269974</v>
      </c>
      <c r="D2842" s="70">
        <v>52.9</v>
      </c>
      <c r="E2842" s="70">
        <v>37.08</v>
      </c>
      <c r="F2842" s="72">
        <f>-((D2842-C2842)/D2842)</f>
        <v>0.003943273775042398</v>
      </c>
      <c r="G2842" s="71">
        <f>C2842-D2842</f>
        <v>0.20859918269974287</v>
      </c>
      <c r="H2842" s="70">
        <v>420</v>
      </c>
      <c r="I2842" s="70" t="s">
        <v>352</v>
      </c>
    </row>
    <row r="2843" spans="2:9" ht="12.75">
      <c r="B2843" s="69" t="s">
        <v>345</v>
      </c>
      <c r="C2843" s="71">
        <f>(5/4)^1.61*E2843</f>
        <v>42.18037340697162</v>
      </c>
      <c r="D2843" s="70">
        <v>44.07</v>
      </c>
      <c r="E2843" s="70">
        <v>29.45</v>
      </c>
      <c r="F2843" s="72">
        <f>-((D2843-C2843)/D2843)</f>
        <v>-0.04287784418035811</v>
      </c>
      <c r="G2843" s="71">
        <f>C2843-D2843</f>
        <v>-1.8896265930283818</v>
      </c>
      <c r="H2843" s="70">
        <v>420</v>
      </c>
      <c r="I2843" s="70" t="s">
        <v>352</v>
      </c>
    </row>
    <row r="2844" spans="2:9" ht="12.75">
      <c r="B2844" s="69"/>
      <c r="C2844" s="71"/>
      <c r="D2844" s="70"/>
      <c r="E2844" s="70" t="s">
        <v>14</v>
      </c>
      <c r="F2844" s="72">
        <f>AVERAGE(F2829:F2843)</f>
        <v>9.667267541707432E-05</v>
      </c>
      <c r="G2844" s="71">
        <f>AVERAGE(G2829:G2843)</f>
        <v>0.09036011450004035</v>
      </c>
      <c r="H2844" s="70"/>
      <c r="I2844" s="70"/>
    </row>
    <row r="2845" spans="2:9" ht="12.75">
      <c r="B2845" s="69"/>
      <c r="C2845" s="71"/>
      <c r="D2845" s="70"/>
      <c r="E2845" s="70"/>
      <c r="F2845" s="72"/>
      <c r="G2845" s="71"/>
      <c r="H2845" s="70"/>
      <c r="I2845" s="70"/>
    </row>
    <row r="2846" spans="1:9" ht="12.75">
      <c r="A2846" s="73" t="s">
        <v>0</v>
      </c>
      <c r="B2846" s="73" t="s">
        <v>1</v>
      </c>
      <c r="C2846" s="74" t="s">
        <v>219</v>
      </c>
      <c r="D2846" s="74" t="s">
        <v>218</v>
      </c>
      <c r="E2846" s="74" t="s">
        <v>73</v>
      </c>
      <c r="F2846" s="74" t="s">
        <v>5</v>
      </c>
      <c r="G2846" s="74" t="s">
        <v>6</v>
      </c>
      <c r="H2846" s="74" t="s">
        <v>7</v>
      </c>
      <c r="I2846" s="74" t="s">
        <v>8</v>
      </c>
    </row>
    <row r="2847" spans="1:9" ht="12.75">
      <c r="A2847" s="73" t="s">
        <v>358</v>
      </c>
      <c r="B2847" s="73" t="s">
        <v>339</v>
      </c>
      <c r="C2847" s="75">
        <f>(5/4)^2*E2847</f>
        <v>56.89062499999999</v>
      </c>
      <c r="D2847" s="74">
        <v>51.06</v>
      </c>
      <c r="E2847" s="74">
        <v>36.41</v>
      </c>
      <c r="F2847" s="76">
        <f>-((D2847-C2847)/D2847)</f>
        <v>0.11419163728946319</v>
      </c>
      <c r="G2847" s="75">
        <f>C2847-D2847</f>
        <v>5.830624999999991</v>
      </c>
      <c r="H2847" s="74">
        <v>420</v>
      </c>
      <c r="I2847" s="74" t="s">
        <v>352</v>
      </c>
    </row>
    <row r="2848" spans="1:9" ht="12.75">
      <c r="A2848" s="5"/>
      <c r="B2848" s="73" t="s">
        <v>340</v>
      </c>
      <c r="C2848" s="75">
        <f>(5/4)^2*E2848</f>
        <v>44.796875</v>
      </c>
      <c r="D2848" s="74">
        <v>40.47</v>
      </c>
      <c r="E2848" s="74">
        <v>28.67</v>
      </c>
      <c r="F2848" s="76">
        <f>-((D2848-C2848)/D2848)</f>
        <v>0.1069156165060539</v>
      </c>
      <c r="G2848" s="75">
        <f>C2848-D2848</f>
        <v>4.326875000000001</v>
      </c>
      <c r="H2848" s="74">
        <v>420</v>
      </c>
      <c r="I2848" s="74" t="s">
        <v>352</v>
      </c>
    </row>
    <row r="2849" spans="1:9" ht="12.75">
      <c r="A2849" s="5"/>
      <c r="B2849" s="73" t="s">
        <v>341</v>
      </c>
      <c r="C2849" s="75">
        <f>(5/4)^2*E2849</f>
        <v>38.40625</v>
      </c>
      <c r="D2849" s="74">
        <v>34.94</v>
      </c>
      <c r="E2849" s="74">
        <v>24.58</v>
      </c>
      <c r="F2849" s="76">
        <f>-((D2849-C2849)/D2849)</f>
        <v>0.09920578133943911</v>
      </c>
      <c r="G2849" s="75">
        <f>C2849-D2849</f>
        <v>3.4662500000000023</v>
      </c>
      <c r="H2849" s="74">
        <v>420</v>
      </c>
      <c r="I2849" s="74" t="s">
        <v>352</v>
      </c>
    </row>
    <row r="2850" spans="1:9" ht="12.75">
      <c r="A2850" s="5"/>
      <c r="B2850" s="73" t="s">
        <v>359</v>
      </c>
      <c r="C2850" s="75">
        <f>(5/4)^2*E2850</f>
        <v>79.140625</v>
      </c>
      <c r="D2850" s="74">
        <v>70.03</v>
      </c>
      <c r="E2850" s="74">
        <v>50.65</v>
      </c>
      <c r="F2850" s="76">
        <f>-((D2850-C2850)/D2850)</f>
        <v>0.13009603027274025</v>
      </c>
      <c r="G2850" s="75">
        <f>C2850-D2850</f>
        <v>9.110624999999999</v>
      </c>
      <c r="H2850" s="74">
        <v>420</v>
      </c>
      <c r="I2850" s="74" t="s">
        <v>352</v>
      </c>
    </row>
    <row r="2851" spans="1:9" ht="12.75">
      <c r="A2851" s="5"/>
      <c r="B2851" s="73" t="s">
        <v>360</v>
      </c>
      <c r="C2851" s="75">
        <f>(5/4)^2*E2851</f>
        <v>68.265625</v>
      </c>
      <c r="D2851" s="74">
        <v>62.89</v>
      </c>
      <c r="E2851" s="74">
        <v>43.69</v>
      </c>
      <c r="F2851" s="76">
        <f>-((D2851-C2851)/D2851)</f>
        <v>0.08547662585466687</v>
      </c>
      <c r="G2851" s="75">
        <f>C2851-D2851</f>
        <v>5.375624999999999</v>
      </c>
      <c r="H2851" s="74">
        <v>420</v>
      </c>
      <c r="I2851" s="74" t="s">
        <v>352</v>
      </c>
    </row>
    <row r="2852" spans="1:9" ht="12.75">
      <c r="A2852" s="5"/>
      <c r="B2852" s="73" t="s">
        <v>361</v>
      </c>
      <c r="C2852" s="75">
        <f>(5/4)^2*E2852</f>
        <v>66.015625</v>
      </c>
      <c r="D2852" s="74">
        <v>59.65</v>
      </c>
      <c r="E2852" s="74">
        <v>42.25</v>
      </c>
      <c r="F2852" s="76">
        <f>-((D2852-C2852)/D2852)</f>
        <v>0.10671626152556583</v>
      </c>
      <c r="G2852" s="75">
        <f>C2852-D2852</f>
        <v>6.365625000000001</v>
      </c>
      <c r="H2852" s="74">
        <v>420</v>
      </c>
      <c r="I2852" s="74" t="s">
        <v>352</v>
      </c>
    </row>
    <row r="2853" spans="1:9" ht="12.75">
      <c r="A2853" s="5"/>
      <c r="B2853" s="73" t="s">
        <v>362</v>
      </c>
      <c r="C2853" s="75">
        <f>(5/4)^2*E2853</f>
        <v>65.171875</v>
      </c>
      <c r="D2853" s="74">
        <v>60.77</v>
      </c>
      <c r="E2853" s="74">
        <v>41.71</v>
      </c>
      <c r="F2853" s="76">
        <f>-((D2853-C2853)/D2853)</f>
        <v>0.07243500082277433</v>
      </c>
      <c r="G2853" s="75">
        <f>C2853-D2853</f>
        <v>4.401874999999997</v>
      </c>
      <c r="H2853" s="74">
        <v>420</v>
      </c>
      <c r="I2853" s="74" t="s">
        <v>352</v>
      </c>
    </row>
    <row r="2854" spans="1:9" ht="12.75">
      <c r="A2854" s="5"/>
      <c r="B2854" s="73" t="s">
        <v>363</v>
      </c>
      <c r="C2854" s="75">
        <f>(5/4)^2*E2854</f>
        <v>77.0625</v>
      </c>
      <c r="D2854" s="74">
        <v>69.01</v>
      </c>
      <c r="E2854" s="74">
        <v>49.32</v>
      </c>
      <c r="F2854" s="76">
        <f>-((D2854-C2854)/D2854)</f>
        <v>0.11668598753803788</v>
      </c>
      <c r="G2854" s="75">
        <f>C2854-D2854</f>
        <v>8.052499999999995</v>
      </c>
      <c r="H2854" s="74">
        <v>420</v>
      </c>
      <c r="I2854" s="74" t="s">
        <v>352</v>
      </c>
    </row>
    <row r="2855" spans="1:9" ht="12.75">
      <c r="A2855" s="5"/>
      <c r="B2855" s="73" t="s">
        <v>364</v>
      </c>
      <c r="C2855" s="75">
        <f>(5/4)^2*E2855</f>
        <v>57.95312500000001</v>
      </c>
      <c r="D2855" s="74">
        <v>53.08</v>
      </c>
      <c r="E2855" s="74">
        <v>37.09</v>
      </c>
      <c r="F2855" s="76">
        <f>-((D2855-C2855)/D2855)</f>
        <v>0.09180717784476279</v>
      </c>
      <c r="G2855" s="75">
        <f>C2855-D2855</f>
        <v>4.873125000000009</v>
      </c>
      <c r="H2855" s="74">
        <v>420</v>
      </c>
      <c r="I2855" s="74" t="s">
        <v>352</v>
      </c>
    </row>
    <row r="2856" spans="1:9" ht="12.75">
      <c r="A2856" s="5"/>
      <c r="B2856" s="73" t="s">
        <v>342</v>
      </c>
      <c r="C2856" s="75">
        <f>(5/4)^2*E2856</f>
        <v>50.296875</v>
      </c>
      <c r="D2856" s="74">
        <v>45.88</v>
      </c>
      <c r="E2856" s="74">
        <v>32.19</v>
      </c>
      <c r="F2856" s="76">
        <f>-((D2856-C2856)/D2856)</f>
        <v>0.09627016129032252</v>
      </c>
      <c r="G2856" s="75">
        <f>C2856-D2856</f>
        <v>4.416874999999997</v>
      </c>
      <c r="H2856" s="74">
        <v>420</v>
      </c>
      <c r="I2856" s="74" t="s">
        <v>352</v>
      </c>
    </row>
    <row r="2857" spans="1:9" ht="12.75">
      <c r="A2857" s="5"/>
      <c r="B2857" s="73" t="s">
        <v>365</v>
      </c>
      <c r="C2857" s="75">
        <f>(5/4)^2*E2857</f>
        <v>63.03125000000001</v>
      </c>
      <c r="D2857" s="74">
        <v>57.6</v>
      </c>
      <c r="E2857" s="74">
        <v>40.34</v>
      </c>
      <c r="F2857" s="76">
        <f>-((D2857-C2857)/D2857)</f>
        <v>0.09429253472222232</v>
      </c>
      <c r="G2857" s="75">
        <f>C2857-D2857</f>
        <v>5.431250000000006</v>
      </c>
      <c r="H2857" s="74">
        <v>420</v>
      </c>
      <c r="I2857" s="74" t="s">
        <v>352</v>
      </c>
    </row>
    <row r="2858" spans="1:9" ht="12.75">
      <c r="A2858" s="5"/>
      <c r="B2858" s="73" t="s">
        <v>343</v>
      </c>
      <c r="C2858" s="75">
        <f>(5/4)^2*E2858</f>
        <v>55.234375</v>
      </c>
      <c r="D2858" s="74">
        <v>51.95</v>
      </c>
      <c r="E2858" s="74">
        <v>35.35</v>
      </c>
      <c r="F2858" s="76">
        <f>-((D2858-C2858)/D2858)</f>
        <v>0.06322184793070254</v>
      </c>
      <c r="G2858" s="75">
        <f>C2858-D2858</f>
        <v>3.284374999999997</v>
      </c>
      <c r="H2858" s="74">
        <v>420</v>
      </c>
      <c r="I2858" s="74" t="s">
        <v>352</v>
      </c>
    </row>
    <row r="2859" spans="1:9" ht="12.75">
      <c r="A2859" s="5"/>
      <c r="B2859" s="73" t="s">
        <v>344</v>
      </c>
      <c r="C2859" s="75">
        <f>(5/4)^2*E2859</f>
        <v>46.15625</v>
      </c>
      <c r="D2859" s="74">
        <v>44.01</v>
      </c>
      <c r="E2859" s="74">
        <v>29.54</v>
      </c>
      <c r="F2859" s="76">
        <f>-((D2859-C2859)/D2859)</f>
        <v>0.04876732560781645</v>
      </c>
      <c r="G2859" s="75">
        <f>C2859-D2859</f>
        <v>2.146250000000002</v>
      </c>
      <c r="H2859" s="74">
        <v>420</v>
      </c>
      <c r="I2859" s="74" t="s">
        <v>352</v>
      </c>
    </row>
    <row r="2860" spans="1:9" ht="12.75">
      <c r="A2860" s="5"/>
      <c r="B2860" s="73" t="s">
        <v>366</v>
      </c>
      <c r="C2860" s="75">
        <f>(5/4)^2*E2860</f>
        <v>57.9375</v>
      </c>
      <c r="D2860" s="74">
        <v>52.9</v>
      </c>
      <c r="E2860" s="74">
        <v>37.08</v>
      </c>
      <c r="F2860" s="76">
        <f>-((D2860-C2860)/D2860)</f>
        <v>0.09522684310018907</v>
      </c>
      <c r="G2860" s="75">
        <f>C2860-D2860</f>
        <v>5.037500000000001</v>
      </c>
      <c r="H2860" s="74">
        <v>420</v>
      </c>
      <c r="I2860" s="74" t="s">
        <v>352</v>
      </c>
    </row>
    <row r="2861" spans="1:9" ht="12.75">
      <c r="A2861" s="5"/>
      <c r="B2861" s="73" t="s">
        <v>345</v>
      </c>
      <c r="C2861" s="75">
        <f>(5/4)^2*E2861</f>
        <v>46.015625</v>
      </c>
      <c r="D2861" s="74">
        <v>44.07</v>
      </c>
      <c r="E2861" s="74">
        <v>29.45</v>
      </c>
      <c r="F2861" s="76">
        <f>-((D2861-C2861)/D2861)</f>
        <v>0.04414851372815974</v>
      </c>
      <c r="G2861" s="75">
        <f>C2861-D2861</f>
        <v>1.9456249999999997</v>
      </c>
      <c r="H2861" s="74">
        <v>420</v>
      </c>
      <c r="I2861" s="74" t="s">
        <v>352</v>
      </c>
    </row>
    <row r="2862" spans="1:9" ht="12.75">
      <c r="A2862" s="5"/>
      <c r="B2862" s="73"/>
      <c r="C2862" s="75"/>
      <c r="D2862" s="74"/>
      <c r="E2862" s="74" t="s">
        <v>14</v>
      </c>
      <c r="F2862" s="76">
        <f>AVERAGE(F2847:F2861)</f>
        <v>0.09103048969152777</v>
      </c>
      <c r="G2862" s="75">
        <f>AVERAGE(G2847:G2861)</f>
        <v>4.937666666666667</v>
      </c>
      <c r="H2862" s="74"/>
      <c r="I2862" s="74"/>
    </row>
    <row r="2863" spans="2:9" ht="12.75">
      <c r="B2863" s="69"/>
      <c r="C2863" s="71"/>
      <c r="D2863" s="70"/>
      <c r="E2863" s="70"/>
      <c r="F2863" s="72"/>
      <c r="G2863" s="71"/>
      <c r="H2863" s="70"/>
      <c r="I2863" s="70"/>
    </row>
    <row r="2864" spans="1:9" ht="12.75">
      <c r="A2864" s="79" t="s">
        <v>0</v>
      </c>
      <c r="B2864" s="79" t="s">
        <v>1</v>
      </c>
      <c r="C2864" s="80" t="s">
        <v>367</v>
      </c>
      <c r="D2864" s="80" t="s">
        <v>194</v>
      </c>
      <c r="E2864" s="80" t="s">
        <v>218</v>
      </c>
      <c r="F2864" s="80" t="s">
        <v>5</v>
      </c>
      <c r="G2864" s="80" t="s">
        <v>6</v>
      </c>
      <c r="H2864" s="80" t="s">
        <v>7</v>
      </c>
      <c r="I2864" s="80" t="s">
        <v>8</v>
      </c>
    </row>
    <row r="2865" spans="1:9" ht="12.75">
      <c r="A2865" s="79" t="s">
        <v>358</v>
      </c>
      <c r="B2865" s="79" t="s">
        <v>339</v>
      </c>
      <c r="C2865" s="81">
        <f>(6/5)^1.69*E2865</f>
        <v>69.48596868717131</v>
      </c>
      <c r="D2865" s="80">
        <v>65.97</v>
      </c>
      <c r="E2865" s="80">
        <v>51.06</v>
      </c>
      <c r="F2865" s="82">
        <f>-((D2865-C2865)/D2865)</f>
        <v>0.05329647850797801</v>
      </c>
      <c r="G2865" s="81">
        <f>C2865-D2865</f>
        <v>3.515968687171309</v>
      </c>
      <c r="H2865" s="80">
        <v>420</v>
      </c>
      <c r="I2865" s="80" t="s">
        <v>352</v>
      </c>
    </row>
    <row r="2866" spans="2:9" ht="12.75">
      <c r="B2866" s="79" t="s">
        <v>340</v>
      </c>
      <c r="C2866" s="81">
        <f>(6/5)^1.69*E2866</f>
        <v>55.074366485895474</v>
      </c>
      <c r="D2866" s="80">
        <v>53.18</v>
      </c>
      <c r="E2866" s="80">
        <v>40.47</v>
      </c>
      <c r="F2866" s="82">
        <f>-((D2866-C2866)/D2866)</f>
        <v>0.03562178424023082</v>
      </c>
      <c r="G2866" s="81">
        <f>C2866-D2866</f>
        <v>1.8943664858954747</v>
      </c>
      <c r="H2866" s="80">
        <v>420</v>
      </c>
      <c r="I2866" s="80" t="s">
        <v>352</v>
      </c>
    </row>
    <row r="2867" spans="2:9" ht="12.75">
      <c r="B2867" s="79" t="s">
        <v>341</v>
      </c>
      <c r="C2867" s="81">
        <f>(6/5)^1.69*E2867</f>
        <v>47.548761181546524</v>
      </c>
      <c r="D2867" s="80">
        <v>46.56</v>
      </c>
      <c r="E2867" s="80">
        <v>34.94</v>
      </c>
      <c r="F2867" s="82">
        <f>-((D2867-C2867)/D2867)</f>
        <v>0.021236279672390935</v>
      </c>
      <c r="G2867" s="81">
        <f>C2867-D2867</f>
        <v>0.988761181546522</v>
      </c>
      <c r="H2867" s="80">
        <v>420</v>
      </c>
      <c r="I2867" s="80" t="s">
        <v>352</v>
      </c>
    </row>
    <row r="2868" spans="2:9" ht="12.75">
      <c r="B2868" s="79" t="s">
        <v>334</v>
      </c>
      <c r="C2868" s="81">
        <f>(6/5)^1.69*E2868</f>
        <v>45.521066443123395</v>
      </c>
      <c r="D2868" s="80">
        <v>44.39</v>
      </c>
      <c r="E2868" s="80">
        <v>33.45</v>
      </c>
      <c r="F2868" s="82">
        <f>-((D2868-C2868)/D2868)</f>
        <v>0.025480208225352435</v>
      </c>
      <c r="G2868" s="81">
        <f>C2868-D2868</f>
        <v>1.1310664431233945</v>
      </c>
      <c r="H2868" s="80">
        <v>420</v>
      </c>
      <c r="I2868" s="80" t="s">
        <v>352</v>
      </c>
    </row>
    <row r="2869" spans="2:9" ht="12.75">
      <c r="B2869" s="79" t="s">
        <v>342</v>
      </c>
      <c r="C2869" s="81">
        <f>(6/5)^1.69*E2869</f>
        <v>62.43666751600901</v>
      </c>
      <c r="D2869" s="80">
        <v>61.4</v>
      </c>
      <c r="E2869" s="80">
        <v>45.88</v>
      </c>
      <c r="F2869" s="82">
        <f>-((D2869-C2869)/D2869)</f>
        <v>0.016883835765619075</v>
      </c>
      <c r="G2869" s="81">
        <f>C2869-D2869</f>
        <v>1.036667516009011</v>
      </c>
      <c r="H2869" s="80">
        <v>420</v>
      </c>
      <c r="I2869" s="80" t="s">
        <v>352</v>
      </c>
    </row>
    <row r="2870" spans="2:9" ht="12.75">
      <c r="B2870" s="79" t="s">
        <v>365</v>
      </c>
      <c r="C2870" s="81">
        <f>(6/5)^1.69*E2870</f>
        <v>78.38605163300171</v>
      </c>
      <c r="D2870" s="80">
        <v>75.4</v>
      </c>
      <c r="E2870" s="80">
        <v>57.6</v>
      </c>
      <c r="F2870" s="82">
        <f>-((D2870-C2870)/D2870)</f>
        <v>0.03960280680373617</v>
      </c>
      <c r="G2870" s="81">
        <f>C2870-D2870</f>
        <v>2.9860516330017077</v>
      </c>
      <c r="H2870" s="80">
        <v>420</v>
      </c>
      <c r="I2870" s="80" t="s">
        <v>352</v>
      </c>
    </row>
    <row r="2871" spans="2:9" ht="12.75">
      <c r="B2871" s="79" t="s">
        <v>343</v>
      </c>
      <c r="C2871" s="81">
        <f>(6/5)^1.69*E2871</f>
        <v>70.69714205441736</v>
      </c>
      <c r="D2871" s="80">
        <v>70.17</v>
      </c>
      <c r="E2871" s="80">
        <v>51.95</v>
      </c>
      <c r="F2871" s="82">
        <f>-((D2871-C2871)/D2871)</f>
        <v>0.007512356483074729</v>
      </c>
      <c r="G2871" s="81">
        <f>C2871-D2871</f>
        <v>0.5271420544173537</v>
      </c>
      <c r="H2871" s="80">
        <v>420</v>
      </c>
      <c r="I2871" s="80" t="s">
        <v>352</v>
      </c>
    </row>
    <row r="2872" spans="2:9" ht="12.75">
      <c r="B2872" s="79" t="s">
        <v>344</v>
      </c>
      <c r="C2872" s="81">
        <f>(6/5)^1.69*E2872</f>
        <v>59.89184257584037</v>
      </c>
      <c r="D2872" s="80">
        <v>61.71</v>
      </c>
      <c r="E2872" s="80">
        <v>44.01</v>
      </c>
      <c r="F2872" s="82">
        <f>-((D2872-C2872)/D2872)</f>
        <v>-0.029462930224592926</v>
      </c>
      <c r="G2872" s="81">
        <f>C2872-D2872</f>
        <v>-1.8181574241596294</v>
      </c>
      <c r="H2872" s="80">
        <v>420</v>
      </c>
      <c r="I2872" s="80" t="s">
        <v>352</v>
      </c>
    </row>
    <row r="2873" spans="2:9" ht="12.75">
      <c r="B2873" s="79" t="s">
        <v>366</v>
      </c>
      <c r="C2873" s="81">
        <f>(6/5)^1.69*E2873</f>
        <v>71.98996755878109</v>
      </c>
      <c r="D2873" s="80">
        <v>70.8</v>
      </c>
      <c r="E2873" s="80">
        <v>52.9</v>
      </c>
      <c r="F2873" s="82">
        <f>-((D2873-C2873)/D2873)</f>
        <v>0.016807451395213162</v>
      </c>
      <c r="G2873" s="81">
        <f>C2873-D2873</f>
        <v>1.1899675587810918</v>
      </c>
      <c r="H2873" s="80">
        <v>420</v>
      </c>
      <c r="I2873" s="80" t="s">
        <v>352</v>
      </c>
    </row>
    <row r="2874" spans="2:9" ht="12.75">
      <c r="B2874" s="79" t="s">
        <v>345</v>
      </c>
      <c r="C2874" s="81">
        <f>(6/5)^1.69*E2874</f>
        <v>59.973494712958086</v>
      </c>
      <c r="D2874" s="80">
        <v>62.2</v>
      </c>
      <c r="E2874" s="80">
        <v>44.07</v>
      </c>
      <c r="F2874" s="82">
        <f>-((D2874-C2874)/D2874)</f>
        <v>-0.03579590493636522</v>
      </c>
      <c r="G2874" s="81">
        <f>C2874-D2874</f>
        <v>-2.226505287041917</v>
      </c>
      <c r="H2874" s="80">
        <v>420</v>
      </c>
      <c r="I2874" s="80" t="s">
        <v>352</v>
      </c>
    </row>
    <row r="2875" spans="2:9" ht="12.75">
      <c r="B2875" s="79" t="s">
        <v>346</v>
      </c>
      <c r="C2875" s="81">
        <f>(6/5)^1.69*E2875</f>
        <v>54.62527973174807</v>
      </c>
      <c r="D2875" s="80">
        <v>56.56</v>
      </c>
      <c r="E2875" s="80">
        <v>40.14</v>
      </c>
      <c r="F2875" s="82">
        <f>-((D2875-C2875)/D2875)</f>
        <v>-0.03420651110770738</v>
      </c>
      <c r="G2875" s="81">
        <f>C2875-D2875</f>
        <v>-1.9347202682519296</v>
      </c>
      <c r="H2875" s="80">
        <v>420</v>
      </c>
      <c r="I2875" s="80" t="s">
        <v>352</v>
      </c>
    </row>
    <row r="2876" spans="2:9" ht="12.75">
      <c r="B2876" s="79" t="s">
        <v>335</v>
      </c>
      <c r="C2876" s="81">
        <f>(6/5)^1.69*E2876</f>
        <v>51.25032473088272</v>
      </c>
      <c r="D2876" s="80">
        <v>52.89</v>
      </c>
      <c r="E2876" s="80">
        <v>37.66</v>
      </c>
      <c r="F2876" s="82">
        <f>-((D2876-C2876)/D2876)</f>
        <v>-0.03100161219733945</v>
      </c>
      <c r="G2876" s="81">
        <f>C2876-D2876</f>
        <v>-1.6396752691172836</v>
      </c>
      <c r="H2876" s="80">
        <v>420</v>
      </c>
      <c r="I2876" s="80" t="s">
        <v>352</v>
      </c>
    </row>
    <row r="2877" spans="2:9" ht="12.75">
      <c r="B2877" s="79" t="s">
        <v>317</v>
      </c>
      <c r="C2877" s="81">
        <f>(6/5)^1.69*E2877</f>
        <v>36.253548880263295</v>
      </c>
      <c r="D2877" s="80">
        <v>37.02</v>
      </c>
      <c r="E2877" s="80">
        <v>26.64</v>
      </c>
      <c r="F2877" s="82">
        <f>-((D2877-C2877)/D2877)</f>
        <v>-0.020703703936701987</v>
      </c>
      <c r="G2877" s="81">
        <f>C2877-D2877</f>
        <v>-0.7664511197367077</v>
      </c>
      <c r="H2877" s="80">
        <v>420</v>
      </c>
      <c r="I2877" s="80" t="s">
        <v>352</v>
      </c>
    </row>
    <row r="2878" spans="2:9" ht="12.75">
      <c r="B2878" s="79" t="s">
        <v>318</v>
      </c>
      <c r="C2878" s="81">
        <f>(6/5)^1.69*E2878</f>
        <v>50.148020879793634</v>
      </c>
      <c r="D2878" s="80">
        <v>50.17</v>
      </c>
      <c r="E2878" s="80">
        <v>36.85</v>
      </c>
      <c r="F2878" s="82">
        <f>-((D2878-C2878)/D2878)</f>
        <v>-0.0004380928883071058</v>
      </c>
      <c r="G2878" s="81">
        <f>C2878-D2878</f>
        <v>-0.021979120206367497</v>
      </c>
      <c r="H2878" s="80">
        <v>420</v>
      </c>
      <c r="I2878" s="80" t="s">
        <v>352</v>
      </c>
    </row>
    <row r="2879" spans="2:9" ht="12.75">
      <c r="B2879" s="79" t="s">
        <v>319</v>
      </c>
      <c r="C2879" s="81">
        <f>(6/5)^1.69*E2879</f>
        <v>33.72233262961428</v>
      </c>
      <c r="D2879" s="80">
        <v>35.23</v>
      </c>
      <c r="E2879" s="80">
        <v>24.78</v>
      </c>
      <c r="F2879" s="82">
        <f>-((D2879-C2879)/D2879)</f>
        <v>-0.04279498638619694</v>
      </c>
      <c r="G2879" s="81">
        <f>C2879-D2879</f>
        <v>-1.5076673703857182</v>
      </c>
      <c r="H2879" s="80">
        <v>420</v>
      </c>
      <c r="I2879" s="80" t="s">
        <v>352</v>
      </c>
    </row>
    <row r="2880" spans="2:9" ht="12.75">
      <c r="B2880" s="79" t="s">
        <v>320</v>
      </c>
      <c r="C2880" s="81">
        <f>(6/5)^1.69*E2880</f>
        <v>33.599854423937714</v>
      </c>
      <c r="D2880" s="80">
        <v>33.97</v>
      </c>
      <c r="E2880" s="80">
        <v>24.69</v>
      </c>
      <c r="F2880" s="82">
        <f>-((D2880-C2880)/D2880)</f>
        <v>-0.010896248927356049</v>
      </c>
      <c r="G2880" s="81">
        <f>C2880-D2880</f>
        <v>-0.37014557606228493</v>
      </c>
      <c r="H2880" s="80">
        <v>420</v>
      </c>
      <c r="I2880" s="80" t="s">
        <v>352</v>
      </c>
    </row>
    <row r="2881" spans="1:9" ht="12.75">
      <c r="A2881" s="5"/>
      <c r="B2881" s="79"/>
      <c r="C2881" s="81"/>
      <c r="D2881" s="80"/>
      <c r="E2881" s="80" t="s">
        <v>14</v>
      </c>
      <c r="F2881" s="82">
        <f>AVERAGE(F2865:F2880)</f>
        <v>0.0006963256555642667</v>
      </c>
      <c r="G2881" s="81">
        <f>AVERAGE(G2865:G2880)</f>
        <v>0.1865431328115017</v>
      </c>
      <c r="H2881" s="80"/>
      <c r="I2881" s="80"/>
    </row>
    <row r="2882" spans="1:9" ht="12.75">
      <c r="A2882" s="5"/>
      <c r="B2882" s="79"/>
      <c r="C2882" s="81"/>
      <c r="D2882" s="80"/>
      <c r="E2882" s="80"/>
      <c r="F2882" s="82"/>
      <c r="G2882" s="81"/>
      <c r="H2882" s="80"/>
      <c r="I2882" s="80"/>
    </row>
    <row r="2883" spans="1:9" ht="12.75">
      <c r="A2883" s="83" t="s">
        <v>0</v>
      </c>
      <c r="B2883" s="83" t="s">
        <v>1</v>
      </c>
      <c r="C2883" s="84" t="s">
        <v>247</v>
      </c>
      <c r="D2883" s="84" t="s">
        <v>194</v>
      </c>
      <c r="E2883" s="84" t="s">
        <v>218</v>
      </c>
      <c r="F2883" s="84" t="s">
        <v>5</v>
      </c>
      <c r="G2883" s="84" t="s">
        <v>6</v>
      </c>
      <c r="H2883" s="84" t="s">
        <v>7</v>
      </c>
      <c r="I2883" s="84" t="s">
        <v>8</v>
      </c>
    </row>
    <row r="2884" spans="1:9" ht="12.75">
      <c r="A2884" s="83" t="s">
        <v>358</v>
      </c>
      <c r="B2884" s="83" t="s">
        <v>339</v>
      </c>
      <c r="C2884" s="85">
        <f>(6/5)^2*E2884</f>
        <v>73.5264</v>
      </c>
      <c r="D2884" s="84">
        <v>65.97</v>
      </c>
      <c r="E2884" s="84">
        <v>51.06</v>
      </c>
      <c r="F2884" s="86">
        <f>-((D2884-C2884)/D2884)</f>
        <v>0.11454297407912682</v>
      </c>
      <c r="G2884" s="85">
        <f>C2884-D2884</f>
        <v>7.5563999999999965</v>
      </c>
      <c r="H2884" s="84">
        <v>420</v>
      </c>
      <c r="I2884" s="84" t="s">
        <v>352</v>
      </c>
    </row>
    <row r="2885" spans="1:9" ht="12.75">
      <c r="A2885" s="5"/>
      <c r="B2885" s="83" t="s">
        <v>340</v>
      </c>
      <c r="C2885" s="85">
        <f>(6/5)^2*E2885</f>
        <v>58.276799999999994</v>
      </c>
      <c r="D2885" s="84">
        <v>53.18</v>
      </c>
      <c r="E2885" s="84">
        <v>40.47</v>
      </c>
      <c r="F2885" s="86">
        <f>-((D2885-C2885)/D2885)</f>
        <v>0.0958405415569762</v>
      </c>
      <c r="G2885" s="85">
        <f>C2885-D2885</f>
        <v>5.096799999999995</v>
      </c>
      <c r="H2885" s="84">
        <v>420</v>
      </c>
      <c r="I2885" s="84" t="s">
        <v>352</v>
      </c>
    </row>
    <row r="2886" spans="1:9" ht="12.75">
      <c r="A2886" s="5"/>
      <c r="B2886" s="83" t="s">
        <v>341</v>
      </c>
      <c r="C2886" s="85">
        <f>(6/5)^2*E2886</f>
        <v>50.313599999999994</v>
      </c>
      <c r="D2886" s="84">
        <v>46.56</v>
      </c>
      <c r="E2886" s="84">
        <v>34.94</v>
      </c>
      <c r="F2886" s="86">
        <f>-((D2886-C2886)/D2886)</f>
        <v>0.08061855670103074</v>
      </c>
      <c r="G2886" s="85">
        <f>C2886-D2886</f>
        <v>3.7535999999999916</v>
      </c>
      <c r="H2886" s="84">
        <v>420</v>
      </c>
      <c r="I2886" s="84" t="s">
        <v>352</v>
      </c>
    </row>
    <row r="2887" spans="1:9" ht="12.75">
      <c r="A2887" s="5"/>
      <c r="B2887" s="83" t="s">
        <v>334</v>
      </c>
      <c r="C2887" s="85">
        <f>(6/5)^2*E2887</f>
        <v>48.168</v>
      </c>
      <c r="D2887" s="84">
        <v>44.39</v>
      </c>
      <c r="E2887" s="84">
        <v>33.45</v>
      </c>
      <c r="F2887" s="86">
        <f>-((D2887-C2887)/D2887)</f>
        <v>0.08510925884208152</v>
      </c>
      <c r="G2887" s="85">
        <f>C2887-D2887</f>
        <v>3.7779999999999987</v>
      </c>
      <c r="H2887" s="84">
        <v>420</v>
      </c>
      <c r="I2887" s="84" t="s">
        <v>352</v>
      </c>
    </row>
    <row r="2888" spans="1:9" ht="12.75">
      <c r="A2888" s="5"/>
      <c r="B2888" s="83" t="s">
        <v>342</v>
      </c>
      <c r="C2888" s="85">
        <f>(6/5)^2*E2888</f>
        <v>66.0672</v>
      </c>
      <c r="D2888" s="84">
        <v>61.4</v>
      </c>
      <c r="E2888" s="84">
        <v>45.88</v>
      </c>
      <c r="F2888" s="86">
        <f>-((D2888-C2888)/D2888)</f>
        <v>0.07601302931596093</v>
      </c>
      <c r="G2888" s="85">
        <f>C2888-D2888</f>
        <v>4.667200000000001</v>
      </c>
      <c r="H2888" s="84">
        <v>420</v>
      </c>
      <c r="I2888" s="84" t="s">
        <v>352</v>
      </c>
    </row>
    <row r="2889" spans="1:9" ht="12.75">
      <c r="A2889" s="5"/>
      <c r="B2889" s="83" t="s">
        <v>365</v>
      </c>
      <c r="C2889" s="85">
        <f>(6/5)^2*E2889</f>
        <v>82.944</v>
      </c>
      <c r="D2889" s="84">
        <v>75.4</v>
      </c>
      <c r="E2889" s="84">
        <v>57.6</v>
      </c>
      <c r="F2889" s="86">
        <f>-((D2889-C2889)/D2889)</f>
        <v>0.10005305039787793</v>
      </c>
      <c r="G2889" s="85">
        <f>C2889-D2889</f>
        <v>7.543999999999997</v>
      </c>
      <c r="H2889" s="84">
        <v>420</v>
      </c>
      <c r="I2889" s="84" t="s">
        <v>352</v>
      </c>
    </row>
    <row r="2890" spans="1:9" ht="12.75">
      <c r="A2890" s="5"/>
      <c r="B2890" s="83" t="s">
        <v>343</v>
      </c>
      <c r="C2890" s="85">
        <f>(6/5)^2*E2890</f>
        <v>74.808</v>
      </c>
      <c r="D2890" s="84">
        <v>70.17</v>
      </c>
      <c r="E2890" s="84">
        <v>51.95</v>
      </c>
      <c r="F2890" s="86">
        <f>-((D2890-C2890)/D2890)</f>
        <v>0.06609662248824291</v>
      </c>
      <c r="G2890" s="85">
        <f>C2890-D2890</f>
        <v>4.638000000000005</v>
      </c>
      <c r="H2890" s="84">
        <v>420</v>
      </c>
      <c r="I2890" s="84" t="s">
        <v>352</v>
      </c>
    </row>
    <row r="2891" spans="1:9" ht="12.75">
      <c r="A2891" s="5"/>
      <c r="B2891" s="83" t="s">
        <v>344</v>
      </c>
      <c r="C2891" s="85">
        <f>(6/5)^2*E2891</f>
        <v>63.374399999999994</v>
      </c>
      <c r="D2891" s="84">
        <v>61.71</v>
      </c>
      <c r="E2891" s="84">
        <v>44.01</v>
      </c>
      <c r="F2891" s="86">
        <f>-((D2891-C2891)/D2891)</f>
        <v>0.026971317452600767</v>
      </c>
      <c r="G2891" s="85">
        <f>C2891-D2891</f>
        <v>1.6643999999999934</v>
      </c>
      <c r="H2891" s="84">
        <v>420</v>
      </c>
      <c r="I2891" s="84" t="s">
        <v>352</v>
      </c>
    </row>
    <row r="2892" spans="1:9" ht="12.75">
      <c r="A2892" s="5"/>
      <c r="B2892" s="83" t="s">
        <v>366</v>
      </c>
      <c r="C2892" s="85">
        <f>(6/5)^2*E2892</f>
        <v>76.176</v>
      </c>
      <c r="D2892" s="84">
        <v>70.8</v>
      </c>
      <c r="E2892" s="84">
        <v>52.9</v>
      </c>
      <c r="F2892" s="86">
        <f>-((D2892-C2892)/D2892)</f>
        <v>0.07593220338983057</v>
      </c>
      <c r="G2892" s="85">
        <f>C2892-D2892</f>
        <v>5.376000000000005</v>
      </c>
      <c r="H2892" s="84">
        <v>420</v>
      </c>
      <c r="I2892" s="84" t="s">
        <v>352</v>
      </c>
    </row>
    <row r="2893" spans="1:9" ht="12.75">
      <c r="A2893" s="5"/>
      <c r="B2893" s="83" t="s">
        <v>345</v>
      </c>
      <c r="C2893" s="85">
        <f>(6/5)^2*E2893</f>
        <v>63.4608</v>
      </c>
      <c r="D2893" s="84">
        <v>62.2</v>
      </c>
      <c r="E2893" s="84">
        <v>44.07</v>
      </c>
      <c r="F2893" s="86">
        <f>-((D2893-C2893)/D2893)</f>
        <v>0.020270096463022445</v>
      </c>
      <c r="G2893" s="85">
        <f>C2893-D2893</f>
        <v>1.2607999999999961</v>
      </c>
      <c r="H2893" s="84">
        <v>420</v>
      </c>
      <c r="I2893" s="84" t="s">
        <v>352</v>
      </c>
    </row>
    <row r="2894" spans="1:9" ht="12.75">
      <c r="A2894" s="5"/>
      <c r="B2894" s="83" t="s">
        <v>346</v>
      </c>
      <c r="C2894" s="85">
        <f>(6/5)^2*E2894</f>
        <v>57.8016</v>
      </c>
      <c r="D2894" s="84">
        <v>56.56</v>
      </c>
      <c r="E2894" s="84">
        <v>40.14</v>
      </c>
      <c r="F2894" s="86">
        <f>-((D2894-C2894)/D2894)</f>
        <v>0.02195190947666192</v>
      </c>
      <c r="G2894" s="85">
        <f>C2894-D2894</f>
        <v>1.2415999999999983</v>
      </c>
      <c r="H2894" s="84">
        <v>420</v>
      </c>
      <c r="I2894" s="84" t="s">
        <v>352</v>
      </c>
    </row>
    <row r="2895" spans="1:9" ht="12.75">
      <c r="A2895" s="5"/>
      <c r="B2895" s="83" t="s">
        <v>335</v>
      </c>
      <c r="C2895" s="85">
        <f>(6/5)^2*E2895</f>
        <v>54.230399999999996</v>
      </c>
      <c r="D2895" s="84">
        <v>52.89</v>
      </c>
      <c r="E2895" s="84">
        <v>37.66</v>
      </c>
      <c r="F2895" s="86">
        <f>-((D2895-C2895)/D2895)</f>
        <v>0.025343165059557485</v>
      </c>
      <c r="G2895" s="85">
        <f>C2895-D2895</f>
        <v>1.3403999999999954</v>
      </c>
      <c r="H2895" s="84">
        <v>420</v>
      </c>
      <c r="I2895" s="84" t="s">
        <v>352</v>
      </c>
    </row>
    <row r="2896" spans="1:9" ht="12.75">
      <c r="A2896" s="5"/>
      <c r="B2896" s="83" t="s">
        <v>317</v>
      </c>
      <c r="C2896" s="85">
        <f>(6/5)^2*E2896</f>
        <v>38.3616</v>
      </c>
      <c r="D2896" s="84">
        <v>37.02</v>
      </c>
      <c r="E2896" s="84">
        <v>26.64</v>
      </c>
      <c r="F2896" s="86">
        <f>-((D2896-C2896)/D2896)</f>
        <v>0.03623987034035655</v>
      </c>
      <c r="G2896" s="85">
        <f>C2896-D2896</f>
        <v>1.3415999999999997</v>
      </c>
      <c r="H2896" s="84">
        <v>420</v>
      </c>
      <c r="I2896" s="84" t="s">
        <v>352</v>
      </c>
    </row>
    <row r="2897" spans="1:9" ht="12.75">
      <c r="A2897" s="5"/>
      <c r="B2897" s="83" t="s">
        <v>318</v>
      </c>
      <c r="C2897" s="85">
        <f>(6/5)^2*E2897</f>
        <v>53.064</v>
      </c>
      <c r="D2897" s="84">
        <v>50.17</v>
      </c>
      <c r="E2897" s="84">
        <v>36.85</v>
      </c>
      <c r="F2897" s="86">
        <f>-((D2897-C2897)/D2897)</f>
        <v>0.05768387482559295</v>
      </c>
      <c r="G2897" s="85">
        <f>C2897-D2897</f>
        <v>2.8939999999999984</v>
      </c>
      <c r="H2897" s="84">
        <v>420</v>
      </c>
      <c r="I2897" s="84" t="s">
        <v>352</v>
      </c>
    </row>
    <row r="2898" spans="1:9" ht="12.75">
      <c r="A2898" s="5"/>
      <c r="B2898" s="83" t="s">
        <v>319</v>
      </c>
      <c r="C2898" s="85">
        <f>(6/5)^2*E2898</f>
        <v>35.6832</v>
      </c>
      <c r="D2898" s="84">
        <v>35.23</v>
      </c>
      <c r="E2898" s="84">
        <v>24.78</v>
      </c>
      <c r="F2898" s="86">
        <f>-((D2898-C2898)/D2898)</f>
        <v>0.012864036332671091</v>
      </c>
      <c r="G2898" s="85">
        <f>C2898-D2898</f>
        <v>0.4532000000000025</v>
      </c>
      <c r="H2898" s="84">
        <v>420</v>
      </c>
      <c r="I2898" s="84" t="s">
        <v>352</v>
      </c>
    </row>
    <row r="2899" spans="1:9" ht="12.75">
      <c r="A2899" s="5"/>
      <c r="B2899" s="83" t="s">
        <v>320</v>
      </c>
      <c r="C2899" s="85">
        <f>(6/5)^2*E2899</f>
        <v>35.5536</v>
      </c>
      <c r="D2899" s="84">
        <v>33.97</v>
      </c>
      <c r="E2899" s="84">
        <v>24.69</v>
      </c>
      <c r="F2899" s="86">
        <f>-((D2899-C2899)/D2899)</f>
        <v>0.04661760376803074</v>
      </c>
      <c r="G2899" s="85">
        <f>C2899-D2899</f>
        <v>1.5836000000000041</v>
      </c>
      <c r="H2899" s="84">
        <v>420</v>
      </c>
      <c r="I2899" s="84" t="s">
        <v>352</v>
      </c>
    </row>
    <row r="2900" spans="1:9" ht="12.75">
      <c r="A2900" s="5"/>
      <c r="B2900" s="83"/>
      <c r="C2900" s="85"/>
      <c r="D2900" s="84"/>
      <c r="E2900" s="84" t="s">
        <v>14</v>
      </c>
      <c r="F2900" s="86">
        <f>AVERAGE(F2884:F2899)</f>
        <v>0.05888425690560135</v>
      </c>
      <c r="G2900" s="85">
        <f>AVERAGE(G2884:G2899)</f>
        <v>3.3868499999999986</v>
      </c>
      <c r="H2900" s="84"/>
      <c r="I2900" s="84"/>
    </row>
    <row r="2901" spans="2:9" ht="12.75">
      <c r="B2901" s="79"/>
      <c r="C2901" s="81"/>
      <c r="D2901" s="80"/>
      <c r="E2901" s="80"/>
      <c r="F2901" s="82"/>
      <c r="G2901" s="81"/>
      <c r="H2901" s="80"/>
      <c r="I2901" s="80"/>
    </row>
    <row r="2902" spans="1:9" ht="12.75">
      <c r="A2902" s="20" t="s">
        <v>0</v>
      </c>
      <c r="B2902" s="20" t="s">
        <v>1</v>
      </c>
      <c r="C2902" s="16" t="s">
        <v>368</v>
      </c>
      <c r="D2902" s="16" t="s">
        <v>73</v>
      </c>
      <c r="E2902" s="16" t="s">
        <v>3</v>
      </c>
      <c r="F2902" s="16" t="s">
        <v>5</v>
      </c>
      <c r="G2902" s="16" t="s">
        <v>6</v>
      </c>
      <c r="H2902" s="16" t="s">
        <v>7</v>
      </c>
      <c r="I2902" s="16" t="s">
        <v>8</v>
      </c>
    </row>
    <row r="2903" spans="1:9" ht="12.75">
      <c r="A2903" s="20" t="s">
        <v>369</v>
      </c>
      <c r="B2903" s="20" t="s">
        <v>300</v>
      </c>
      <c r="C2903" s="21">
        <f>(4/3)^1.73*E2903</f>
        <v>82.09781225829241</v>
      </c>
      <c r="D2903" s="16">
        <v>75.06</v>
      </c>
      <c r="E2903" s="16">
        <v>49.91</v>
      </c>
      <c r="F2903" s="22">
        <f>-((D2903-C2903)/D2903)</f>
        <v>0.09376248678780182</v>
      </c>
      <c r="G2903" s="21">
        <f>C2903-D2903</f>
        <v>7.037812258292405</v>
      </c>
      <c r="H2903" s="16">
        <v>850</v>
      </c>
      <c r="I2903" s="16" t="s">
        <v>370</v>
      </c>
    </row>
    <row r="2904" spans="2:9" ht="12.75">
      <c r="B2904" s="20" t="s">
        <v>299</v>
      </c>
      <c r="C2904" s="21">
        <f>(4/3)^1.73*E2904</f>
        <v>58.937379547477796</v>
      </c>
      <c r="D2904" s="16">
        <v>56.6</v>
      </c>
      <c r="E2904" s="16">
        <v>35.83</v>
      </c>
      <c r="F2904" s="22">
        <f>-((D2904-C2904)/D2904)</f>
        <v>0.04129645843600344</v>
      </c>
      <c r="G2904" s="21">
        <f>C2904-D2904</f>
        <v>2.337379547477795</v>
      </c>
      <c r="H2904" s="16">
        <v>850</v>
      </c>
      <c r="I2904" s="16" t="s">
        <v>370</v>
      </c>
    </row>
    <row r="2905" spans="2:9" ht="12.75">
      <c r="B2905" s="20" t="s">
        <v>288</v>
      </c>
      <c r="C2905" s="21">
        <f>(4/3)^1.73*E2905</f>
        <v>72.62308978568643</v>
      </c>
      <c r="D2905" s="16">
        <v>74.55</v>
      </c>
      <c r="E2905" s="16">
        <v>44.15</v>
      </c>
      <c r="F2905" s="22">
        <f>-((D2905-C2905)/D2905)</f>
        <v>-0.02584721950789491</v>
      </c>
      <c r="G2905" s="21">
        <f>C2905-D2905</f>
        <v>-1.9269102143135655</v>
      </c>
      <c r="H2905" s="16">
        <v>850</v>
      </c>
      <c r="I2905" s="16" t="s">
        <v>370</v>
      </c>
    </row>
    <row r="2906" spans="2:9" ht="12.75">
      <c r="B2906" s="20" t="s">
        <v>289</v>
      </c>
      <c r="C2906" s="21">
        <f>(4/3)^1.73*E2906</f>
        <v>73.3468533078994</v>
      </c>
      <c r="D2906" s="16">
        <v>75.26</v>
      </c>
      <c r="E2906" s="16">
        <v>44.59</v>
      </c>
      <c r="F2906" s="22">
        <f>-((D2906-C2906)/D2906)</f>
        <v>-0.025420498167693473</v>
      </c>
      <c r="G2906" s="21">
        <f>C2906-D2906</f>
        <v>-1.9131466921006108</v>
      </c>
      <c r="H2906" s="16">
        <v>850</v>
      </c>
      <c r="I2906" s="16" t="s">
        <v>370</v>
      </c>
    </row>
    <row r="2907" spans="2:9" ht="12.75">
      <c r="B2907" s="20" t="s">
        <v>287</v>
      </c>
      <c r="C2907" s="21">
        <f>(4/3)^1.73*E2907</f>
        <v>79.64688578534398</v>
      </c>
      <c r="D2907" s="16">
        <v>79.83</v>
      </c>
      <c r="E2907" s="16">
        <v>48.42</v>
      </c>
      <c r="F2907" s="22">
        <f>-((D2907-C2907)/D2907)</f>
        <v>-0.0022938020124767056</v>
      </c>
      <c r="G2907" s="21">
        <f>C2907-D2907</f>
        <v>-0.1831142146560154</v>
      </c>
      <c r="H2907" s="16">
        <v>850</v>
      </c>
      <c r="I2907" s="16" t="s">
        <v>370</v>
      </c>
    </row>
    <row r="2908" spans="2:9" ht="12.75">
      <c r="B2908" s="20" t="s">
        <v>242</v>
      </c>
      <c r="C2908" s="21">
        <f>(4/3)^1.73*E2908</f>
        <v>66.99747331757663</v>
      </c>
      <c r="D2908" s="16">
        <v>66.81</v>
      </c>
      <c r="E2908" s="16">
        <v>40.73</v>
      </c>
      <c r="F2908" s="22">
        <f>-((D2908-C2908)/D2908)</f>
        <v>0.0028060667202010527</v>
      </c>
      <c r="G2908" s="21">
        <f>C2908-D2908</f>
        <v>0.18747331757663233</v>
      </c>
      <c r="H2908" s="16">
        <v>850</v>
      </c>
      <c r="I2908" s="16" t="s">
        <v>370</v>
      </c>
    </row>
    <row r="2909" spans="2:9" ht="12.75">
      <c r="B2909" s="20" t="s">
        <v>148</v>
      </c>
      <c r="C2909" s="21">
        <f>(4/3)^1.73*E2909</f>
        <v>53.065025514977215</v>
      </c>
      <c r="D2909" s="16">
        <v>55.54</v>
      </c>
      <c r="E2909" s="16">
        <v>32.26</v>
      </c>
      <c r="F2909" s="22">
        <f>-((D2909-C2909)/D2909)</f>
        <v>-0.04456201809547685</v>
      </c>
      <c r="G2909" s="21">
        <f>C2909-D2909</f>
        <v>-2.474974485022784</v>
      </c>
      <c r="H2909" s="16">
        <v>850</v>
      </c>
      <c r="I2909" s="16" t="s">
        <v>370</v>
      </c>
    </row>
    <row r="2910" spans="2:9" ht="12.75">
      <c r="B2910" s="20" t="s">
        <v>243</v>
      </c>
      <c r="C2910" s="21">
        <f>(4/3)^1.73*E2910</f>
        <v>66.58624404359199</v>
      </c>
      <c r="D2910" s="16">
        <v>66.28</v>
      </c>
      <c r="E2910" s="16">
        <v>40.48</v>
      </c>
      <c r="F2910" s="22">
        <f>-((D2910-C2910)/D2910)</f>
        <v>0.0046204593179237806</v>
      </c>
      <c r="G2910" s="21">
        <f>C2910-D2910</f>
        <v>0.3062440435919882</v>
      </c>
      <c r="H2910" s="16">
        <v>850</v>
      </c>
      <c r="I2910" s="16" t="s">
        <v>370</v>
      </c>
    </row>
    <row r="2911" spans="2:9" ht="12.75">
      <c r="B2911" s="20" t="s">
        <v>244</v>
      </c>
      <c r="C2911" s="21">
        <f>(4/3)^1.73*E2911</f>
        <v>55.976528774788434</v>
      </c>
      <c r="D2911" s="16">
        <v>58.31</v>
      </c>
      <c r="E2911" s="16">
        <v>34.03</v>
      </c>
      <c r="F2911" s="22">
        <f>-((D2911-C2911)/D2911)</f>
        <v>-0.04001837120925344</v>
      </c>
      <c r="G2911" s="21">
        <f>C2911-D2911</f>
        <v>-2.333471225211568</v>
      </c>
      <c r="H2911" s="16">
        <v>850</v>
      </c>
      <c r="I2911" s="16" t="s">
        <v>370</v>
      </c>
    </row>
    <row r="2912" spans="2:8" ht="12.75">
      <c r="B2912" s="69"/>
      <c r="C2912" s="71"/>
      <c r="D2912" s="70"/>
      <c r="E2912" s="16" t="s">
        <v>14</v>
      </c>
      <c r="F2912" s="22">
        <f>AVERAGE(F2903:F2911)</f>
        <v>0.00048261802990385666</v>
      </c>
      <c r="G2912" s="21">
        <f>AVERAGE(G2903:G2911)</f>
        <v>0.11525470395936407</v>
      </c>
      <c r="H2912" s="70"/>
    </row>
    <row r="2913" spans="2:8" ht="12.75">
      <c r="B2913" s="69"/>
      <c r="C2913" s="71"/>
      <c r="D2913" s="70"/>
      <c r="E2913" s="70"/>
      <c r="F2913" s="72"/>
      <c r="G2913" s="71"/>
      <c r="H2913" s="70"/>
    </row>
    <row r="2914" spans="1:9" ht="12.75">
      <c r="A2914" s="23" t="s">
        <v>0</v>
      </c>
      <c r="B2914" s="23" t="s">
        <v>1</v>
      </c>
      <c r="C2914" s="18" t="s">
        <v>74</v>
      </c>
      <c r="D2914" s="18" t="s">
        <v>73</v>
      </c>
      <c r="E2914" s="18" t="s">
        <v>3</v>
      </c>
      <c r="F2914" s="18" t="s">
        <v>5</v>
      </c>
      <c r="G2914" s="18" t="s">
        <v>6</v>
      </c>
      <c r="H2914" s="18" t="s">
        <v>7</v>
      </c>
      <c r="I2914" s="18" t="s">
        <v>8</v>
      </c>
    </row>
    <row r="2915" spans="1:9" ht="12.75">
      <c r="A2915" s="23" t="s">
        <v>369</v>
      </c>
      <c r="B2915" s="23" t="s">
        <v>300</v>
      </c>
      <c r="C2915" s="24">
        <f>(4/3)^2*E2915</f>
        <v>88.72888888888887</v>
      </c>
      <c r="D2915" s="18">
        <v>75.06</v>
      </c>
      <c r="E2915" s="18">
        <v>49.91</v>
      </c>
      <c r="F2915" s="25">
        <f>-((D2915-C2915)/D2915)</f>
        <v>0.18210616691831696</v>
      </c>
      <c r="G2915" s="24">
        <f>C2915-D2915</f>
        <v>13.668888888888873</v>
      </c>
      <c r="H2915" s="18">
        <v>850</v>
      </c>
      <c r="I2915" s="18" t="s">
        <v>370</v>
      </c>
    </row>
    <row r="2916" spans="1:9" ht="12.75">
      <c r="A2916" s="5"/>
      <c r="B2916" s="23" t="s">
        <v>299</v>
      </c>
      <c r="C2916" s="24">
        <f>(4/3)^2*E2916</f>
        <v>63.69777777777777</v>
      </c>
      <c r="D2916" s="18">
        <v>56.6</v>
      </c>
      <c r="E2916" s="18">
        <v>35.83</v>
      </c>
      <c r="F2916" s="25">
        <f>-((D2916-C2916)/D2916)</f>
        <v>0.12540243423635639</v>
      </c>
      <c r="G2916" s="24">
        <f>C2916-D2916</f>
        <v>7.097777777777772</v>
      </c>
      <c r="H2916" s="18">
        <v>850</v>
      </c>
      <c r="I2916" s="18" t="s">
        <v>370</v>
      </c>
    </row>
    <row r="2917" spans="1:9" ht="12.75">
      <c r="A2917" s="5"/>
      <c r="B2917" s="23" t="s">
        <v>288</v>
      </c>
      <c r="C2917" s="24">
        <f>(4/3)^2*E2917</f>
        <v>78.48888888888888</v>
      </c>
      <c r="D2917" s="18">
        <v>74.55</v>
      </c>
      <c r="E2917" s="18">
        <v>44.15</v>
      </c>
      <c r="F2917" s="25">
        <f>-((D2917-C2917)/D2917)</f>
        <v>0.05283553170877107</v>
      </c>
      <c r="G2917" s="24">
        <f>C2917-D2917</f>
        <v>3.938888888888883</v>
      </c>
      <c r="H2917" s="18">
        <v>850</v>
      </c>
      <c r="I2917" s="18" t="s">
        <v>370</v>
      </c>
    </row>
    <row r="2918" spans="1:9" ht="12.75">
      <c r="A2918" s="5"/>
      <c r="B2918" s="23" t="s">
        <v>289</v>
      </c>
      <c r="C2918" s="24">
        <f>(4/3)^2*E2918</f>
        <v>79.27111111111111</v>
      </c>
      <c r="D2918" s="18">
        <v>75.26</v>
      </c>
      <c r="E2918" s="18">
        <v>44.59</v>
      </c>
      <c r="F2918" s="25">
        <f>-((D2918-C2918)/D2918)</f>
        <v>0.053296719520477084</v>
      </c>
      <c r="G2918" s="24">
        <f>C2918-D2918</f>
        <v>4.011111111111106</v>
      </c>
      <c r="H2918" s="18">
        <v>850</v>
      </c>
      <c r="I2918" s="18" t="s">
        <v>370</v>
      </c>
    </row>
    <row r="2919" spans="1:9" ht="12.75">
      <c r="A2919" s="5"/>
      <c r="B2919" s="23" t="s">
        <v>287</v>
      </c>
      <c r="C2919" s="24">
        <f>(4/3)^2*E2919</f>
        <v>86.08</v>
      </c>
      <c r="D2919" s="18">
        <v>79.83</v>
      </c>
      <c r="E2919" s="18">
        <v>48.42</v>
      </c>
      <c r="F2919" s="25">
        <f>-((D2919-C2919)/D2919)</f>
        <v>0.07829136915946386</v>
      </c>
      <c r="G2919" s="24">
        <f>C2919-D2919</f>
        <v>6.25</v>
      </c>
      <c r="H2919" s="18">
        <v>850</v>
      </c>
      <c r="I2919" s="18" t="s">
        <v>370</v>
      </c>
    </row>
    <row r="2920" spans="1:9" ht="12.75">
      <c r="A2920" s="5"/>
      <c r="B2920" s="23" t="s">
        <v>242</v>
      </c>
      <c r="C2920" s="24">
        <f>(4/3)^2*E2920</f>
        <v>72.40888888888888</v>
      </c>
      <c r="D2920" s="18">
        <v>66.81</v>
      </c>
      <c r="E2920" s="18">
        <v>40.73</v>
      </c>
      <c r="F2920" s="25">
        <f>-((D2920-C2920)/D2920)</f>
        <v>0.08380315654675766</v>
      </c>
      <c r="G2920" s="24">
        <f>C2920-D2920</f>
        <v>5.5988888888888795</v>
      </c>
      <c r="H2920" s="18">
        <v>850</v>
      </c>
      <c r="I2920" s="18" t="s">
        <v>370</v>
      </c>
    </row>
    <row r="2921" spans="1:9" ht="12.75">
      <c r="A2921" s="5"/>
      <c r="B2921" s="23" t="s">
        <v>148</v>
      </c>
      <c r="C2921" s="24">
        <f>(4/3)^2*E2921</f>
        <v>57.3511111111111</v>
      </c>
      <c r="D2921" s="18">
        <v>55.54</v>
      </c>
      <c r="E2921" s="18">
        <v>32.26</v>
      </c>
      <c r="F2921" s="25">
        <f>-((D2921-C2921)/D2921)</f>
        <v>0.03260913055655569</v>
      </c>
      <c r="G2921" s="24">
        <f>C2921-D2921</f>
        <v>1.811111111111103</v>
      </c>
      <c r="H2921" s="18">
        <v>850</v>
      </c>
      <c r="I2921" s="18" t="s">
        <v>370</v>
      </c>
    </row>
    <row r="2922" spans="1:9" ht="12.75">
      <c r="A2922" s="5"/>
      <c r="B2922" s="23" t="s">
        <v>243</v>
      </c>
      <c r="C2922" s="24">
        <f>(4/3)^2*E2922</f>
        <v>71.96444444444444</v>
      </c>
      <c r="D2922" s="18">
        <v>66.28</v>
      </c>
      <c r="E2922" s="18">
        <v>40.48</v>
      </c>
      <c r="F2922" s="25">
        <f>-((D2922-C2922)/D2922)</f>
        <v>0.08576409843760467</v>
      </c>
      <c r="G2922" s="24">
        <f>C2922-D2922</f>
        <v>5.684444444444438</v>
      </c>
      <c r="H2922" s="18">
        <v>850</v>
      </c>
      <c r="I2922" s="18" t="s">
        <v>370</v>
      </c>
    </row>
    <row r="2923" spans="1:9" ht="12.75">
      <c r="A2923" s="5"/>
      <c r="B2923" s="23" t="s">
        <v>244</v>
      </c>
      <c r="C2923" s="24">
        <f>(4/3)^2*E2923</f>
        <v>60.49777777777778</v>
      </c>
      <c r="D2923" s="18">
        <v>58.31</v>
      </c>
      <c r="E2923" s="18">
        <v>34.03</v>
      </c>
      <c r="F2923" s="25">
        <f>-((D2923-C2923)/D2923)</f>
        <v>0.03751976981268693</v>
      </c>
      <c r="G2923" s="24">
        <f>C2923-D2923</f>
        <v>2.187777777777775</v>
      </c>
      <c r="H2923" s="18">
        <v>850</v>
      </c>
      <c r="I2923" s="18" t="s">
        <v>370</v>
      </c>
    </row>
    <row r="2924" spans="1:9" ht="12.75">
      <c r="A2924" s="5"/>
      <c r="B2924" s="73"/>
      <c r="C2924" s="75"/>
      <c r="D2924" s="74"/>
      <c r="E2924" s="18" t="s">
        <v>14</v>
      </c>
      <c r="F2924" s="25">
        <f>AVERAGE(F2915:F2923)</f>
        <v>0.08129204187744336</v>
      </c>
      <c r="G2924" s="24">
        <f>AVERAGE(G2915:G2923)</f>
        <v>5.583209876543203</v>
      </c>
      <c r="H2924" s="74"/>
      <c r="I2924" s="5"/>
    </row>
    <row r="2925" spans="1:9" ht="12.75">
      <c r="A2925" s="98"/>
      <c r="B2925" s="98"/>
      <c r="C2925" s="99"/>
      <c r="D2925" s="100"/>
      <c r="E2925" s="100"/>
      <c r="F2925" s="101"/>
      <c r="G2925" s="99"/>
      <c r="H2925" s="100"/>
      <c r="I2925" s="98"/>
    </row>
    <row r="2926" spans="1:9" ht="12.75">
      <c r="A2926" s="69" t="s">
        <v>0</v>
      </c>
      <c r="B2926" s="69" t="s">
        <v>1</v>
      </c>
      <c r="C2926" s="70" t="s">
        <v>217</v>
      </c>
      <c r="D2926" s="70" t="s">
        <v>218</v>
      </c>
      <c r="E2926" s="70" t="s">
        <v>73</v>
      </c>
      <c r="F2926" s="70" t="s">
        <v>5</v>
      </c>
      <c r="G2926" s="70" t="s">
        <v>6</v>
      </c>
      <c r="H2926" s="70" t="s">
        <v>7</v>
      </c>
      <c r="I2926" s="70" t="s">
        <v>8</v>
      </c>
    </row>
    <row r="2927" spans="1:9" ht="12.75">
      <c r="A2927" s="69" t="s">
        <v>369</v>
      </c>
      <c r="B2927" s="69" t="s">
        <v>299</v>
      </c>
      <c r="C2927" s="71">
        <f>(5/4)^1.81*E2927</f>
        <v>84.76636399323475</v>
      </c>
      <c r="D2927" s="70">
        <v>80.5</v>
      </c>
      <c r="E2927" s="70">
        <v>56.6</v>
      </c>
      <c r="F2927" s="72">
        <f>-((D2927-C2927)/D2927)</f>
        <v>0.05299831047496581</v>
      </c>
      <c r="G2927" s="71">
        <f>C2927-D2927</f>
        <v>4.266363993234748</v>
      </c>
      <c r="H2927" s="70">
        <v>850</v>
      </c>
      <c r="I2927" s="70" t="s">
        <v>370</v>
      </c>
    </row>
    <row r="2928" spans="2:9" ht="12.75">
      <c r="B2928" s="69" t="s">
        <v>301</v>
      </c>
      <c r="C2928" s="71">
        <f>(5/4)^1.81*E2928</f>
        <v>81.92085000759613</v>
      </c>
      <c r="D2928" s="70">
        <v>79.5</v>
      </c>
      <c r="E2928" s="70">
        <v>54.7</v>
      </c>
      <c r="F2928" s="72">
        <f>-((D2928-C2928)/D2928)</f>
        <v>0.030450943491775215</v>
      </c>
      <c r="G2928" s="71">
        <f>C2928-D2928</f>
        <v>2.4208500075961297</v>
      </c>
      <c r="H2928" s="70">
        <v>850</v>
      </c>
      <c r="I2928" s="70" t="s">
        <v>370</v>
      </c>
    </row>
    <row r="2929" spans="2:9" ht="12.75">
      <c r="B2929" s="69" t="s">
        <v>91</v>
      </c>
      <c r="C2929" s="71">
        <f>(5/4)^1.81*E2929</f>
        <v>75.2563567254425</v>
      </c>
      <c r="D2929" s="70">
        <v>71.53</v>
      </c>
      <c r="E2929" s="70">
        <v>50.25</v>
      </c>
      <c r="F2929" s="72">
        <f>-((D2929-C2929)/D2929)</f>
        <v>0.052095019228889976</v>
      </c>
      <c r="G2929" s="71">
        <f>C2929-D2929</f>
        <v>3.7263567254425</v>
      </c>
      <c r="H2929" s="70">
        <v>850</v>
      </c>
      <c r="I2929" s="70" t="s">
        <v>370</v>
      </c>
    </row>
    <row r="2930" spans="2:9" ht="12.75">
      <c r="B2930" s="69" t="s">
        <v>92</v>
      </c>
      <c r="C2930" s="71">
        <f>(5/4)^1.81*E2930</f>
        <v>62.30177989608773</v>
      </c>
      <c r="D2930" s="70">
        <v>59.73</v>
      </c>
      <c r="E2930" s="70">
        <v>41.6</v>
      </c>
      <c r="F2930" s="72">
        <f>-((D2930-C2930)/D2930)</f>
        <v>0.043056753659597075</v>
      </c>
      <c r="G2930" s="71">
        <f>C2930-D2930</f>
        <v>2.571779896087733</v>
      </c>
      <c r="H2930" s="70">
        <v>850</v>
      </c>
      <c r="I2930" s="70" t="s">
        <v>370</v>
      </c>
    </row>
    <row r="2931" spans="2:9" ht="12.75">
      <c r="B2931" s="69" t="s">
        <v>93</v>
      </c>
      <c r="C2931" s="71">
        <f>(5/4)^1.81*E2931</f>
        <v>42.68270978457933</v>
      </c>
      <c r="D2931" s="70">
        <v>41.33</v>
      </c>
      <c r="E2931" s="70">
        <v>28.5</v>
      </c>
      <c r="F2931" s="72">
        <f>-((D2931-C2931)/D2931)</f>
        <v>0.03272948910184689</v>
      </c>
      <c r="G2931" s="71">
        <f>C2931-D2931</f>
        <v>1.352709784579332</v>
      </c>
      <c r="H2931" s="70">
        <v>850</v>
      </c>
      <c r="I2931" s="70" t="s">
        <v>370</v>
      </c>
    </row>
    <row r="2932" spans="2:9" ht="12.75">
      <c r="B2932" s="69" t="s">
        <v>96</v>
      </c>
      <c r="C2932" s="71">
        <f>(5/4)^1.81*E2932</f>
        <v>69.41556486018429</v>
      </c>
      <c r="D2932" s="70">
        <v>70.95</v>
      </c>
      <c r="E2932" s="70">
        <v>46.35</v>
      </c>
      <c r="F2932" s="72">
        <f>-((D2932-C2932)/D2932)</f>
        <v>-0.0216269928092419</v>
      </c>
      <c r="G2932" s="71">
        <f>C2932-D2932</f>
        <v>-1.534435139815713</v>
      </c>
      <c r="H2932" s="70">
        <v>850</v>
      </c>
      <c r="I2932" s="70" t="s">
        <v>370</v>
      </c>
    </row>
    <row r="2933" spans="2:9" ht="12.75">
      <c r="B2933" s="69" t="s">
        <v>148</v>
      </c>
      <c r="C2933" s="71">
        <f>(5/4)^1.81*E2933</f>
        <v>83.17886671703636</v>
      </c>
      <c r="D2933" s="70">
        <v>85.71</v>
      </c>
      <c r="E2933" s="70">
        <v>55.54</v>
      </c>
      <c r="F2933" s="72">
        <f>-((D2933-C2933)/D2933)</f>
        <v>-0.029531364869485908</v>
      </c>
      <c r="G2933" s="71">
        <f>C2933-D2933</f>
        <v>-2.531133282963637</v>
      </c>
      <c r="H2933" s="70">
        <v>850</v>
      </c>
      <c r="I2933" s="70" t="s">
        <v>370</v>
      </c>
    </row>
    <row r="2934" spans="2:9" ht="12.75">
      <c r="B2934" s="69" t="s">
        <v>97</v>
      </c>
      <c r="C2934" s="71">
        <f>(5/4)^1.81*E2934</f>
        <v>71.16780241976176</v>
      </c>
      <c r="D2934" s="70">
        <v>75.53</v>
      </c>
      <c r="E2934" s="70">
        <v>47.52</v>
      </c>
      <c r="F2934" s="72">
        <f>-((D2934-C2934)/D2934)</f>
        <v>-0.057754502584909904</v>
      </c>
      <c r="G2934" s="71">
        <f>C2934-D2934</f>
        <v>-4.362197580238245</v>
      </c>
      <c r="H2934" s="70">
        <v>850</v>
      </c>
      <c r="I2934" s="70" t="s">
        <v>370</v>
      </c>
    </row>
    <row r="2935" spans="2:9" ht="12.75">
      <c r="B2935" s="69" t="s">
        <v>98</v>
      </c>
      <c r="C2935" s="71">
        <f>(5/4)^1.81*E2935</f>
        <v>61.34329097460945</v>
      </c>
      <c r="D2935" s="70">
        <v>63.29</v>
      </c>
      <c r="E2935" s="70">
        <v>40.96</v>
      </c>
      <c r="F2935" s="72">
        <f>-((D2935-C2935)/D2935)</f>
        <v>-0.03075855625518323</v>
      </c>
      <c r="G2935" s="71">
        <f>C2935-D2935</f>
        <v>-1.9467090253905468</v>
      </c>
      <c r="H2935" s="70">
        <v>850</v>
      </c>
      <c r="I2935" s="70" t="s">
        <v>370</v>
      </c>
    </row>
    <row r="2936" spans="2:9" ht="12.75">
      <c r="B2936" s="69" t="s">
        <v>101</v>
      </c>
      <c r="C2936" s="71">
        <f>(5/4)^1.81*E2936</f>
        <v>81.56141666204176</v>
      </c>
      <c r="D2936" s="70">
        <v>79.55</v>
      </c>
      <c r="E2936" s="70">
        <v>54.46</v>
      </c>
      <c r="F2936" s="72">
        <f>-((D2936-C2936)/D2936)</f>
        <v>0.025284936040751323</v>
      </c>
      <c r="G2936" s="71">
        <f>C2936-D2936</f>
        <v>2.0114166620417677</v>
      </c>
      <c r="H2936" s="70">
        <v>850</v>
      </c>
      <c r="I2936" s="70" t="s">
        <v>370</v>
      </c>
    </row>
    <row r="2937" spans="2:9" ht="12.75">
      <c r="B2937" s="69" t="s">
        <v>103</v>
      </c>
      <c r="C2937" s="71">
        <f>(5/4)^1.81*E2937</f>
        <v>54.49908101967866</v>
      </c>
      <c r="D2937" s="70">
        <v>56.48</v>
      </c>
      <c r="E2937" s="70">
        <v>36.39</v>
      </c>
      <c r="F2937" s="72">
        <f>-((D2937-C2937)/D2937)</f>
        <v>-0.035072928121836655</v>
      </c>
      <c r="G2937" s="71">
        <f>C2937-D2937</f>
        <v>-1.9809189803213343</v>
      </c>
      <c r="H2937" s="70">
        <v>850</v>
      </c>
      <c r="I2937" s="70" t="s">
        <v>370</v>
      </c>
    </row>
    <row r="2938" spans="2:9" ht="12.75">
      <c r="B2938" s="69" t="s">
        <v>104</v>
      </c>
      <c r="C2938" s="71">
        <f>(5/4)^1.81*E2938</f>
        <v>45.61808210660654</v>
      </c>
      <c r="D2938" s="70">
        <v>47.89</v>
      </c>
      <c r="E2938" s="70">
        <v>30.46</v>
      </c>
      <c r="F2938" s="72">
        <f>-((D2938-C2938)/D2938)</f>
        <v>-0.047440340225380184</v>
      </c>
      <c r="G2938" s="71">
        <f>C2938-D2938</f>
        <v>-2.271917893393457</v>
      </c>
      <c r="H2938" s="70">
        <v>850</v>
      </c>
      <c r="I2938" s="70" t="s">
        <v>370</v>
      </c>
    </row>
    <row r="2939" spans="2:9" ht="12.75">
      <c r="B2939" s="69"/>
      <c r="C2939" s="71"/>
      <c r="D2939" s="70"/>
      <c r="E2939" s="70" t="s">
        <v>14</v>
      </c>
      <c r="F2939" s="72">
        <f>AVERAGE(F2927:F2938)</f>
        <v>0.0012025639276490422</v>
      </c>
      <c r="G2939" s="71">
        <f>AVERAGE(G2927:G2938)</f>
        <v>0.14351376390493975</v>
      </c>
      <c r="H2939" s="70"/>
      <c r="I2939" s="70"/>
    </row>
    <row r="2940" spans="2:9" ht="12.75">
      <c r="B2940" s="69"/>
      <c r="C2940" s="71"/>
      <c r="D2940" s="70"/>
      <c r="E2940" s="70"/>
      <c r="F2940" s="72"/>
      <c r="G2940" s="71"/>
      <c r="H2940" s="70"/>
      <c r="I2940" s="70"/>
    </row>
    <row r="2941" spans="1:9" ht="12.75">
      <c r="A2941" s="73" t="s">
        <v>0</v>
      </c>
      <c r="B2941" s="73" t="s">
        <v>1</v>
      </c>
      <c r="C2941" s="74" t="s">
        <v>219</v>
      </c>
      <c r="D2941" s="74" t="s">
        <v>218</v>
      </c>
      <c r="E2941" s="74" t="s">
        <v>73</v>
      </c>
      <c r="F2941" s="74" t="s">
        <v>5</v>
      </c>
      <c r="G2941" s="74" t="s">
        <v>6</v>
      </c>
      <c r="H2941" s="74" t="s">
        <v>7</v>
      </c>
      <c r="I2941" s="74" t="s">
        <v>8</v>
      </c>
    </row>
    <row r="2942" spans="1:9" ht="12.75">
      <c r="A2942" s="73" t="s">
        <v>369</v>
      </c>
      <c r="B2942" s="73" t="s">
        <v>299</v>
      </c>
      <c r="C2942" s="75">
        <f>(5/4)^2*E2942</f>
        <v>88.4375</v>
      </c>
      <c r="D2942" s="74">
        <v>80.5</v>
      </c>
      <c r="E2942" s="74">
        <v>56.6</v>
      </c>
      <c r="F2942" s="76">
        <f>-((D2942-C2942)/D2942)</f>
        <v>0.0986024844720497</v>
      </c>
      <c r="G2942" s="75">
        <f>C2942-D2942</f>
        <v>7.9375</v>
      </c>
      <c r="H2942" s="74">
        <v>850</v>
      </c>
      <c r="I2942" s="74" t="s">
        <v>370</v>
      </c>
    </row>
    <row r="2943" spans="1:9" ht="12.75">
      <c r="A2943" s="5"/>
      <c r="B2943" s="73" t="s">
        <v>301</v>
      </c>
      <c r="C2943" s="75">
        <f>(5/4)^2*E2943</f>
        <v>85.46875</v>
      </c>
      <c r="D2943" s="74">
        <v>79.5</v>
      </c>
      <c r="E2943" s="74">
        <v>54.7</v>
      </c>
      <c r="F2943" s="76">
        <f>-((D2943-C2943)/D2943)</f>
        <v>0.07507861635220126</v>
      </c>
      <c r="G2943" s="75">
        <f>C2943-D2943</f>
        <v>5.96875</v>
      </c>
      <c r="H2943" s="74">
        <v>850</v>
      </c>
      <c r="I2943" s="74" t="s">
        <v>370</v>
      </c>
    </row>
    <row r="2944" spans="1:9" ht="12.75">
      <c r="A2944" s="5"/>
      <c r="B2944" s="73" t="s">
        <v>91</v>
      </c>
      <c r="C2944" s="75">
        <f>(5/4)^2*E2944</f>
        <v>78.515625</v>
      </c>
      <c r="D2944" s="74">
        <v>71.53</v>
      </c>
      <c r="E2944" s="74">
        <v>50.25</v>
      </c>
      <c r="F2944" s="76">
        <f>-((D2944-C2944)/D2944)</f>
        <v>0.09766007269677057</v>
      </c>
      <c r="G2944" s="75">
        <f>C2944-D2944</f>
        <v>6.985624999999999</v>
      </c>
      <c r="H2944" s="74">
        <v>850</v>
      </c>
      <c r="I2944" s="74" t="s">
        <v>370</v>
      </c>
    </row>
    <row r="2945" spans="1:9" ht="12.75">
      <c r="A2945" s="5"/>
      <c r="B2945" s="73" t="s">
        <v>92</v>
      </c>
      <c r="C2945" s="75">
        <f>(5/4)^2*E2945</f>
        <v>65</v>
      </c>
      <c r="D2945" s="74">
        <v>59.73</v>
      </c>
      <c r="E2945" s="74">
        <v>41.6</v>
      </c>
      <c r="F2945" s="76">
        <f>-((D2945-C2945)/D2945)</f>
        <v>0.08823036999832586</v>
      </c>
      <c r="G2945" s="75">
        <f>C2945-D2945</f>
        <v>5.270000000000003</v>
      </c>
      <c r="H2945" s="74">
        <v>850</v>
      </c>
      <c r="I2945" s="74" t="s">
        <v>370</v>
      </c>
    </row>
    <row r="2946" spans="1:9" ht="12.75">
      <c r="A2946" s="5"/>
      <c r="B2946" s="73" t="s">
        <v>93</v>
      </c>
      <c r="C2946" s="75">
        <f>(5/4)^2*E2946</f>
        <v>44.53125</v>
      </c>
      <c r="D2946" s="74">
        <v>41.33</v>
      </c>
      <c r="E2946" s="74">
        <v>28.5</v>
      </c>
      <c r="F2946" s="76">
        <f>-((D2946-C2946)/D2946)</f>
        <v>0.0774558432131624</v>
      </c>
      <c r="G2946" s="75">
        <f>C2946-D2946</f>
        <v>3.2012500000000017</v>
      </c>
      <c r="H2946" s="74">
        <v>850</v>
      </c>
      <c r="I2946" s="74" t="s">
        <v>370</v>
      </c>
    </row>
    <row r="2947" spans="1:9" ht="12.75">
      <c r="A2947" s="5"/>
      <c r="B2947" s="73" t="s">
        <v>96</v>
      </c>
      <c r="C2947" s="75">
        <f>(5/4)^2*E2947</f>
        <v>72.421875</v>
      </c>
      <c r="D2947" s="74">
        <v>70.95</v>
      </c>
      <c r="E2947" s="74">
        <v>46.35</v>
      </c>
      <c r="F2947" s="76">
        <f>-((D2947-C2947)/D2947)</f>
        <v>0.02074524312896402</v>
      </c>
      <c r="G2947" s="75">
        <f>C2947-D2947</f>
        <v>1.4718749999999972</v>
      </c>
      <c r="H2947" s="74">
        <v>850</v>
      </c>
      <c r="I2947" s="74" t="s">
        <v>370</v>
      </c>
    </row>
    <row r="2948" spans="1:9" ht="12.75">
      <c r="A2948" s="5"/>
      <c r="B2948" s="73" t="s">
        <v>148</v>
      </c>
      <c r="C2948" s="75">
        <f>(5/4)^2*E2948</f>
        <v>86.78125</v>
      </c>
      <c r="D2948" s="74">
        <v>85.71</v>
      </c>
      <c r="E2948" s="74">
        <v>55.54</v>
      </c>
      <c r="F2948" s="76">
        <f>-((D2948-C2948)/D2948)</f>
        <v>0.012498541593746427</v>
      </c>
      <c r="G2948" s="75">
        <f>C2948-D2948</f>
        <v>1.0712500000000063</v>
      </c>
      <c r="H2948" s="74">
        <v>850</v>
      </c>
      <c r="I2948" s="74" t="s">
        <v>370</v>
      </c>
    </row>
    <row r="2949" spans="1:9" ht="12.75">
      <c r="A2949" s="5"/>
      <c r="B2949" s="73" t="s">
        <v>97</v>
      </c>
      <c r="C2949" s="75">
        <f>(5/4)^2*E2949</f>
        <v>74.25</v>
      </c>
      <c r="D2949" s="74">
        <v>75.53</v>
      </c>
      <c r="E2949" s="74">
        <v>47.52</v>
      </c>
      <c r="F2949" s="76">
        <f>-((D2949-C2949)/D2949)</f>
        <v>-0.016946908513173587</v>
      </c>
      <c r="G2949" s="75">
        <f>C2949-D2949</f>
        <v>-1.2800000000000011</v>
      </c>
      <c r="H2949" s="74">
        <v>850</v>
      </c>
      <c r="I2949" s="74" t="s">
        <v>370</v>
      </c>
    </row>
    <row r="2950" spans="1:9" ht="12.75">
      <c r="A2950" s="5"/>
      <c r="B2950" s="73" t="s">
        <v>98</v>
      </c>
      <c r="C2950" s="75">
        <f>(5/4)^2*E2950</f>
        <v>64</v>
      </c>
      <c r="D2950" s="74">
        <v>63.29</v>
      </c>
      <c r="E2950" s="74">
        <v>40.96</v>
      </c>
      <c r="F2950" s="76">
        <f>-((D2950-C2950)/D2950)</f>
        <v>0.011218201927634711</v>
      </c>
      <c r="G2950" s="75">
        <f>C2950-D2950</f>
        <v>0.7100000000000009</v>
      </c>
      <c r="H2950" s="74">
        <v>850</v>
      </c>
      <c r="I2950" s="74" t="s">
        <v>370</v>
      </c>
    </row>
    <row r="2951" spans="1:9" ht="12.75">
      <c r="A2951" s="5"/>
      <c r="B2951" s="73" t="s">
        <v>101</v>
      </c>
      <c r="C2951" s="75">
        <f>(5/4)^2*E2951</f>
        <v>85.09375</v>
      </c>
      <c r="D2951" s="74">
        <v>79.55</v>
      </c>
      <c r="E2951" s="74">
        <v>54.46</v>
      </c>
      <c r="F2951" s="76">
        <f>-((D2951-C2951)/D2951)</f>
        <v>0.0696888749214331</v>
      </c>
      <c r="G2951" s="75">
        <f>C2951-D2951</f>
        <v>5.543750000000003</v>
      </c>
      <c r="H2951" s="74">
        <v>850</v>
      </c>
      <c r="I2951" s="74" t="s">
        <v>370</v>
      </c>
    </row>
    <row r="2952" spans="1:9" ht="12.75">
      <c r="A2952" s="5"/>
      <c r="B2952" s="73" t="s">
        <v>103</v>
      </c>
      <c r="C2952" s="75">
        <f>(5/4)^2*E2952</f>
        <v>56.859375</v>
      </c>
      <c r="D2952" s="74">
        <v>56.48</v>
      </c>
      <c r="E2952" s="74">
        <v>36.39</v>
      </c>
      <c r="F2952" s="76">
        <f>-((D2952-C2952)/D2952)</f>
        <v>0.00671697946175643</v>
      </c>
      <c r="G2952" s="75">
        <f>C2952-D2952</f>
        <v>0.3793750000000031</v>
      </c>
      <c r="H2952" s="74">
        <v>850</v>
      </c>
      <c r="I2952" s="74" t="s">
        <v>370</v>
      </c>
    </row>
    <row r="2953" spans="1:9" ht="12.75">
      <c r="A2953" s="5"/>
      <c r="B2953" s="73" t="s">
        <v>104</v>
      </c>
      <c r="C2953" s="75">
        <f>(5/4)^2*E2953</f>
        <v>47.59375</v>
      </c>
      <c r="D2953" s="74">
        <v>47.89</v>
      </c>
      <c r="E2953" s="74">
        <v>30.46</v>
      </c>
      <c r="F2953" s="76">
        <f>-((D2953-C2953)/D2953)</f>
        <v>-0.006186051367717698</v>
      </c>
      <c r="G2953" s="75">
        <f>C2953-D2953</f>
        <v>-0.29625000000000057</v>
      </c>
      <c r="H2953" s="74">
        <v>850</v>
      </c>
      <c r="I2953" s="74" t="s">
        <v>370</v>
      </c>
    </row>
    <row r="2954" spans="1:9" ht="12.75">
      <c r="A2954" s="5"/>
      <c r="B2954" s="73"/>
      <c r="C2954" s="75"/>
      <c r="D2954" s="74"/>
      <c r="E2954" s="74" t="s">
        <v>14</v>
      </c>
      <c r="F2954" s="76">
        <f>AVERAGE(F2942:F2953)</f>
        <v>0.04456352232376276</v>
      </c>
      <c r="G2954" s="75">
        <f>AVERAGE(G2942:G2953)</f>
        <v>3.080260416666668</v>
      </c>
      <c r="H2954" s="74"/>
      <c r="I2954" s="74"/>
    </row>
    <row r="2955" spans="3:7" ht="12.75">
      <c r="C2955" s="71"/>
      <c r="F2955" s="72"/>
      <c r="G2955" s="71"/>
    </row>
    <row r="2956" spans="1:9" ht="12.75">
      <c r="A2956" s="69" t="s">
        <v>0</v>
      </c>
      <c r="B2956" s="69" t="s">
        <v>1</v>
      </c>
      <c r="C2956" s="70" t="s">
        <v>371</v>
      </c>
      <c r="D2956" s="70" t="s">
        <v>218</v>
      </c>
      <c r="E2956" s="70" t="s">
        <v>73</v>
      </c>
      <c r="F2956" s="70" t="s">
        <v>5</v>
      </c>
      <c r="G2956" s="70" t="s">
        <v>6</v>
      </c>
      <c r="H2956" s="70" t="s">
        <v>7</v>
      </c>
      <c r="I2956" s="70" t="s">
        <v>8</v>
      </c>
    </row>
    <row r="2957" spans="1:9" ht="12.75">
      <c r="A2957" s="69" t="s">
        <v>372</v>
      </c>
      <c r="B2957" s="69" t="s">
        <v>300</v>
      </c>
      <c r="C2957" s="71">
        <f>(5/4)^1.77*E2957</f>
        <v>76.14617421819578</v>
      </c>
      <c r="D2957" s="70">
        <v>72.48</v>
      </c>
      <c r="E2957" s="70">
        <v>51.3</v>
      </c>
      <c r="F2957" s="72">
        <f>-((D2957-C2957)/D2957)</f>
        <v>0.050581873871354543</v>
      </c>
      <c r="G2957" s="71">
        <f>C2957-D2957</f>
        <v>3.6661742181957777</v>
      </c>
      <c r="H2957" s="70">
        <v>710</v>
      </c>
      <c r="I2957" s="70" t="s">
        <v>370</v>
      </c>
    </row>
    <row r="2958" spans="2:9" ht="12.75">
      <c r="B2958" s="69" t="s">
        <v>299</v>
      </c>
      <c r="C2958" s="71">
        <f>(5/4)^1.77*E2958</f>
        <v>53.9257409229445</v>
      </c>
      <c r="D2958" s="70">
        <v>52.14</v>
      </c>
      <c r="E2958" s="70">
        <v>36.33</v>
      </c>
      <c r="F2958" s="72">
        <f>-((D2958-C2958)/D2958)</f>
        <v>0.034248962848954706</v>
      </c>
      <c r="G2958" s="71">
        <f>C2958-D2958</f>
        <v>1.7857409229444983</v>
      </c>
      <c r="H2958" s="70">
        <v>710</v>
      </c>
      <c r="I2958" s="70" t="s">
        <v>370</v>
      </c>
    </row>
    <row r="2959" spans="2:9" ht="12.75">
      <c r="B2959" s="69" t="s">
        <v>301</v>
      </c>
      <c r="C2959" s="71">
        <f>(5/4)^1.77*E2959</f>
        <v>52.26329033572463</v>
      </c>
      <c r="D2959" s="70">
        <v>50.77</v>
      </c>
      <c r="E2959" s="70">
        <v>35.21</v>
      </c>
      <c r="F2959" s="72">
        <f>-((D2959-C2959)/D2959)</f>
        <v>0.029412848842320864</v>
      </c>
      <c r="G2959" s="71">
        <f>C2959-D2959</f>
        <v>1.4932903357246303</v>
      </c>
      <c r="H2959" s="70">
        <v>710</v>
      </c>
      <c r="I2959" s="70" t="s">
        <v>370</v>
      </c>
    </row>
    <row r="2960" spans="2:9" ht="12.75">
      <c r="B2960" s="69" t="s">
        <v>91</v>
      </c>
      <c r="C2960" s="71">
        <f>(5/4)^1.77*E2960</f>
        <v>47.780611073756766</v>
      </c>
      <c r="D2960" s="70">
        <v>46.29</v>
      </c>
      <c r="E2960" s="70">
        <v>32.19</v>
      </c>
      <c r="F2960" s="72">
        <f>-((D2960-C2960)/D2960)</f>
        <v>0.03220157860783684</v>
      </c>
      <c r="G2960" s="71">
        <f>C2960-D2960</f>
        <v>1.4906110737567673</v>
      </c>
      <c r="H2960" s="70">
        <v>710</v>
      </c>
      <c r="I2960" s="70" t="s">
        <v>370</v>
      </c>
    </row>
    <row r="2961" spans="2:9" ht="12.75">
      <c r="B2961" s="69" t="s">
        <v>289</v>
      </c>
      <c r="C2961" s="71">
        <f>(5/4)^1.77*E2961</f>
        <v>70.49087355988534</v>
      </c>
      <c r="D2961" s="70">
        <v>73.05</v>
      </c>
      <c r="E2961" s="70">
        <v>47.49</v>
      </c>
      <c r="F2961" s="72">
        <f>-((D2961-C2961)/D2961)</f>
        <v>-0.03503253169219238</v>
      </c>
      <c r="G2961" s="71">
        <f>C2961-D2961</f>
        <v>-2.559126440114653</v>
      </c>
      <c r="H2961" s="70">
        <v>710</v>
      </c>
      <c r="I2961" s="70" t="s">
        <v>370</v>
      </c>
    </row>
    <row r="2962" spans="2:9" ht="12.75">
      <c r="B2962" s="69" t="s">
        <v>242</v>
      </c>
      <c r="C2962" s="71">
        <f>(5/4)^1.77*E2962</f>
        <v>63.15827900554056</v>
      </c>
      <c r="D2962" s="70">
        <v>62.9</v>
      </c>
      <c r="E2962" s="70">
        <v>42.55</v>
      </c>
      <c r="F2962" s="72">
        <f>-((D2962-C2962)/D2962)</f>
        <v>0.004106184507799017</v>
      </c>
      <c r="G2962" s="71">
        <f>C2962-D2962</f>
        <v>0.25827900554055816</v>
      </c>
      <c r="H2962" s="70">
        <v>710</v>
      </c>
      <c r="I2962" s="70" t="s">
        <v>370</v>
      </c>
    </row>
    <row r="2963" spans="2:9" ht="12.75">
      <c r="B2963" s="69" t="s">
        <v>148</v>
      </c>
      <c r="C2963" s="71">
        <f>(5/4)^1.77*E2963</f>
        <v>50.511779895617984</v>
      </c>
      <c r="D2963" s="70">
        <v>52.51</v>
      </c>
      <c r="E2963" s="70">
        <v>34.03</v>
      </c>
      <c r="F2963" s="72">
        <f>-((D2963-C2963)/D2963)</f>
        <v>-0.03805408692405283</v>
      </c>
      <c r="G2963" s="71">
        <f>C2963-D2963</f>
        <v>-1.998220104382014</v>
      </c>
      <c r="H2963" s="70">
        <v>710</v>
      </c>
      <c r="I2963" s="70" t="s">
        <v>370</v>
      </c>
    </row>
    <row r="2964" spans="2:9" ht="12.75">
      <c r="B2964" s="69" t="s">
        <v>243</v>
      </c>
      <c r="C2964" s="71">
        <f>(5/4)^1.77*E2964</f>
        <v>62.34189702074509</v>
      </c>
      <c r="D2964" s="70">
        <v>61.96</v>
      </c>
      <c r="E2964" s="70">
        <v>42</v>
      </c>
      <c r="F2964" s="72">
        <f>-((D2964-C2964)/D2964)</f>
        <v>0.006163605886783183</v>
      </c>
      <c r="G2964" s="71">
        <f>C2964-D2964</f>
        <v>0.381897020745086</v>
      </c>
      <c r="H2964" s="70">
        <v>710</v>
      </c>
      <c r="I2964" s="70" t="s">
        <v>370</v>
      </c>
    </row>
    <row r="2965" spans="2:9" ht="12.75">
      <c r="B2965" s="69" t="s">
        <v>244</v>
      </c>
      <c r="C2965" s="71">
        <f>(5/4)^1.77*E2965</f>
        <v>53.43591173206722</v>
      </c>
      <c r="D2965" s="70">
        <v>54.83</v>
      </c>
      <c r="E2965" s="70">
        <v>36</v>
      </c>
      <c r="F2965" s="72">
        <f>-((D2965-C2965)/D2965)</f>
        <v>-0.02542564778283385</v>
      </c>
      <c r="G2965" s="71">
        <f>C2965-D2965</f>
        <v>-1.39408826793278</v>
      </c>
      <c r="H2965" s="70">
        <v>710</v>
      </c>
      <c r="I2965" s="70" t="s">
        <v>370</v>
      </c>
    </row>
    <row r="2966" spans="2:9" ht="12.75">
      <c r="B2966" s="69" t="s">
        <v>122</v>
      </c>
      <c r="C2966" s="71">
        <f>(5/4)^1.77*E2966</f>
        <v>48.73058283788241</v>
      </c>
      <c r="D2966" s="70">
        <v>50.76</v>
      </c>
      <c r="E2966" s="70">
        <v>32.83</v>
      </c>
      <c r="F2966" s="72">
        <f>-((D2966-C2966)/D2966)</f>
        <v>-0.03998063755156795</v>
      </c>
      <c r="G2966" s="71">
        <f>C2966-D2966</f>
        <v>-2.029417162117589</v>
      </c>
      <c r="H2966" s="70">
        <v>710</v>
      </c>
      <c r="I2966" s="70" t="s">
        <v>370</v>
      </c>
    </row>
    <row r="2967" spans="2:9" ht="12.75">
      <c r="B2967" s="69"/>
      <c r="C2967" s="71"/>
      <c r="D2967" s="70"/>
      <c r="E2967" s="70" t="s">
        <v>14</v>
      </c>
      <c r="F2967" s="72">
        <f>AVERAGE(F2957:F2966)</f>
        <v>0.0018222150614402167</v>
      </c>
      <c r="G2967" s="71">
        <f>AVERAGE(G2957:G2966)</f>
        <v>0.10951406023602814</v>
      </c>
      <c r="H2967" s="70"/>
      <c r="I2967" s="74"/>
    </row>
    <row r="2968" spans="2:9" ht="12.75">
      <c r="B2968" s="69"/>
      <c r="C2968" s="71"/>
      <c r="D2968" s="70"/>
      <c r="E2968" s="70"/>
      <c r="F2968" s="72"/>
      <c r="G2968" s="71"/>
      <c r="H2968" s="70"/>
      <c r="I2968" s="74"/>
    </row>
    <row r="2969" spans="1:9" ht="12.75">
      <c r="A2969" s="73" t="s">
        <v>0</v>
      </c>
      <c r="B2969" s="73" t="s">
        <v>1</v>
      </c>
      <c r="C2969" s="74" t="s">
        <v>219</v>
      </c>
      <c r="D2969" s="74" t="s">
        <v>218</v>
      </c>
      <c r="E2969" s="74" t="s">
        <v>73</v>
      </c>
      <c r="F2969" s="74" t="s">
        <v>5</v>
      </c>
      <c r="G2969" s="74" t="s">
        <v>6</v>
      </c>
      <c r="H2969" s="74" t="s">
        <v>7</v>
      </c>
      <c r="I2969" s="74" t="s">
        <v>8</v>
      </c>
    </row>
    <row r="2970" spans="1:9" ht="12.75">
      <c r="A2970" s="73" t="s">
        <v>372</v>
      </c>
      <c r="B2970" s="73" t="s">
        <v>300</v>
      </c>
      <c r="C2970" s="75">
        <f>(5/4)^2*E2970</f>
        <v>80.15625</v>
      </c>
      <c r="D2970" s="74">
        <v>72.48</v>
      </c>
      <c r="E2970" s="74">
        <v>51.3</v>
      </c>
      <c r="F2970" s="76">
        <f>-((D2970-C2970)/D2970)</f>
        <v>0.10590852649006617</v>
      </c>
      <c r="G2970" s="75">
        <f>C2970-D2970</f>
        <v>7.676249999999996</v>
      </c>
      <c r="H2970" s="74">
        <v>710</v>
      </c>
      <c r="I2970" s="74" t="s">
        <v>370</v>
      </c>
    </row>
    <row r="2971" spans="1:9" ht="12.75">
      <c r="A2971" s="5"/>
      <c r="B2971" s="73" t="s">
        <v>299</v>
      </c>
      <c r="C2971" s="75">
        <f>(5/4)^2*E2971</f>
        <v>56.765625</v>
      </c>
      <c r="D2971" s="74">
        <v>52.14</v>
      </c>
      <c r="E2971" s="74">
        <v>36.33</v>
      </c>
      <c r="F2971" s="76">
        <f>-((D2971-C2971)/D2971)</f>
        <v>0.08871547756041426</v>
      </c>
      <c r="G2971" s="75">
        <f>C2971-D2971</f>
        <v>4.625624999999999</v>
      </c>
      <c r="H2971" s="74">
        <v>710</v>
      </c>
      <c r="I2971" s="74" t="s">
        <v>370</v>
      </c>
    </row>
    <row r="2972" spans="1:9" ht="12.75">
      <c r="A2972" s="5"/>
      <c r="B2972" s="73" t="s">
        <v>301</v>
      </c>
      <c r="C2972" s="75">
        <f>(5/4)^2*E2972</f>
        <v>55.015625</v>
      </c>
      <c r="D2972" s="74">
        <v>50.77</v>
      </c>
      <c r="E2972" s="74">
        <v>35.21</v>
      </c>
      <c r="F2972" s="76">
        <f>-((D2972-C2972)/D2972)</f>
        <v>0.08362467992909192</v>
      </c>
      <c r="G2972" s="75">
        <f>C2972-D2972</f>
        <v>4.245624999999997</v>
      </c>
      <c r="H2972" s="74">
        <v>710</v>
      </c>
      <c r="I2972" s="74" t="s">
        <v>370</v>
      </c>
    </row>
    <row r="2973" spans="1:9" ht="12.75">
      <c r="A2973" s="5"/>
      <c r="B2973" s="73" t="s">
        <v>91</v>
      </c>
      <c r="C2973" s="75">
        <f>(5/4)^2*E2973</f>
        <v>50.296875</v>
      </c>
      <c r="D2973" s="74">
        <v>46.29</v>
      </c>
      <c r="E2973" s="74">
        <v>32.19</v>
      </c>
      <c r="F2973" s="76">
        <f>-((D2973-C2973)/D2973)</f>
        <v>0.08656027219701881</v>
      </c>
      <c r="G2973" s="75">
        <f>C2973-D2973</f>
        <v>4.006875000000001</v>
      </c>
      <c r="H2973" s="74">
        <v>710</v>
      </c>
      <c r="I2973" s="74" t="s">
        <v>370</v>
      </c>
    </row>
    <row r="2974" spans="1:9" ht="12.75">
      <c r="A2974" s="5"/>
      <c r="B2974" s="73" t="s">
        <v>289</v>
      </c>
      <c r="C2974" s="75">
        <f>(5/4)^2*E2974</f>
        <v>74.203125</v>
      </c>
      <c r="D2974" s="74">
        <v>73.05</v>
      </c>
      <c r="E2974" s="74">
        <v>47.49</v>
      </c>
      <c r="F2974" s="76">
        <f>-((D2974-C2974)/D2974)</f>
        <v>0.01578542094455856</v>
      </c>
      <c r="G2974" s="75">
        <f>C2974-D2974</f>
        <v>1.1531250000000028</v>
      </c>
      <c r="H2974" s="74">
        <v>710</v>
      </c>
      <c r="I2974" s="74" t="s">
        <v>370</v>
      </c>
    </row>
    <row r="2975" spans="1:9" ht="12.75">
      <c r="A2975" s="5"/>
      <c r="B2975" s="73" t="s">
        <v>242</v>
      </c>
      <c r="C2975" s="75">
        <f>(5/4)^2*E2975</f>
        <v>66.484375</v>
      </c>
      <c r="D2975" s="74">
        <v>62.9</v>
      </c>
      <c r="E2975" s="74">
        <v>42.55</v>
      </c>
      <c r="F2975" s="76">
        <f>-((D2975-C2975)/D2975)</f>
        <v>0.056985294117647085</v>
      </c>
      <c r="G2975" s="75">
        <f>C2975-D2975</f>
        <v>3.5843750000000014</v>
      </c>
      <c r="H2975" s="74">
        <v>710</v>
      </c>
      <c r="I2975" s="74" t="s">
        <v>370</v>
      </c>
    </row>
    <row r="2976" spans="1:9" ht="12.75">
      <c r="A2976" s="5"/>
      <c r="B2976" s="73" t="s">
        <v>148</v>
      </c>
      <c r="C2976" s="75">
        <f>(5/4)^2*E2976</f>
        <v>53.171875</v>
      </c>
      <c r="D2976" s="74">
        <v>52.51</v>
      </c>
      <c r="E2976" s="74">
        <v>34.03</v>
      </c>
      <c r="F2976" s="76">
        <f>-((D2976-C2976)/D2976)</f>
        <v>0.01260474195391358</v>
      </c>
      <c r="G2976" s="75">
        <f>C2976-D2976</f>
        <v>0.661875000000002</v>
      </c>
      <c r="H2976" s="74">
        <v>710</v>
      </c>
      <c r="I2976" s="74" t="s">
        <v>370</v>
      </c>
    </row>
    <row r="2977" spans="1:9" ht="12.75">
      <c r="A2977" s="5"/>
      <c r="B2977" s="73" t="s">
        <v>243</v>
      </c>
      <c r="C2977" s="75">
        <f>(5/4)^2*E2977</f>
        <v>65.625</v>
      </c>
      <c r="D2977" s="74">
        <v>61.96</v>
      </c>
      <c r="E2977" s="74">
        <v>42</v>
      </c>
      <c r="F2977" s="76">
        <f>-((D2977-C2977)/D2977)</f>
        <v>0.05915106520335699</v>
      </c>
      <c r="G2977" s="75">
        <f>C2977-D2977</f>
        <v>3.664999999999999</v>
      </c>
      <c r="H2977" s="74">
        <v>710</v>
      </c>
      <c r="I2977" s="74" t="s">
        <v>370</v>
      </c>
    </row>
    <row r="2978" spans="1:9" ht="12.75">
      <c r="A2978" s="5"/>
      <c r="B2978" s="73" t="s">
        <v>244</v>
      </c>
      <c r="C2978" s="75">
        <f>(5/4)^2*E2978</f>
        <v>56.25</v>
      </c>
      <c r="D2978" s="74">
        <v>54.83</v>
      </c>
      <c r="E2978" s="74">
        <v>36</v>
      </c>
      <c r="F2978" s="76">
        <f>-((D2978-C2978)/D2978)</f>
        <v>0.0258982308954952</v>
      </c>
      <c r="G2978" s="75">
        <f>C2978-D2978</f>
        <v>1.4200000000000017</v>
      </c>
      <c r="H2978" s="74">
        <v>710</v>
      </c>
      <c r="I2978" s="74" t="s">
        <v>370</v>
      </c>
    </row>
    <row r="2979" spans="1:9" ht="12.75">
      <c r="A2979" s="5"/>
      <c r="B2979" s="73" t="s">
        <v>122</v>
      </c>
      <c r="C2979" s="75">
        <f>(5/4)^2*E2979</f>
        <v>51.296875</v>
      </c>
      <c r="D2979" s="74">
        <v>50.76</v>
      </c>
      <c r="E2979" s="74">
        <v>32.83</v>
      </c>
      <c r="F2979" s="76">
        <f>-((D2979-C2979)/D2979)</f>
        <v>0.010576733648542199</v>
      </c>
      <c r="G2979" s="75">
        <f>C2979-D2979</f>
        <v>0.536875000000002</v>
      </c>
      <c r="H2979" s="74">
        <v>710</v>
      </c>
      <c r="I2979" s="74" t="s">
        <v>370</v>
      </c>
    </row>
    <row r="2980" spans="1:9" ht="12.75">
      <c r="A2980" s="5"/>
      <c r="B2980" s="5"/>
      <c r="C2980" s="5"/>
      <c r="D2980" s="5"/>
      <c r="E2980" s="74" t="s">
        <v>14</v>
      </c>
      <c r="F2980" s="76">
        <f>AVERAGE(F2970:F2979)</f>
        <v>0.054581044294010485</v>
      </c>
      <c r="G2980" s="75">
        <f>AVERAGE(G2970:G2979)</f>
        <v>3.1575625</v>
      </c>
      <c r="H2980" s="5"/>
      <c r="I2980" s="74"/>
    </row>
    <row r="2981" ht="12.75">
      <c r="I2981" s="74"/>
    </row>
    <row r="2982" spans="1:9" ht="12.75">
      <c r="A2982" s="79" t="s">
        <v>0</v>
      </c>
      <c r="B2982" s="79" t="s">
        <v>1</v>
      </c>
      <c r="C2982" s="80" t="s">
        <v>373</v>
      </c>
      <c r="D2982" s="80" t="s">
        <v>194</v>
      </c>
      <c r="E2982" s="80" t="s">
        <v>218</v>
      </c>
      <c r="F2982" s="80" t="s">
        <v>5</v>
      </c>
      <c r="G2982" s="80" t="s">
        <v>6</v>
      </c>
      <c r="H2982" s="80" t="s">
        <v>7</v>
      </c>
      <c r="I2982" s="80" t="s">
        <v>8</v>
      </c>
    </row>
    <row r="2983" spans="1:9" ht="12.75">
      <c r="A2983" s="79" t="s">
        <v>372</v>
      </c>
      <c r="B2983" s="79" t="s">
        <v>299</v>
      </c>
      <c r="C2983" s="81">
        <f>(6/5)^1.77*E2983</f>
        <v>71.99823206275713</v>
      </c>
      <c r="D2983" s="80">
        <v>70.16</v>
      </c>
      <c r="E2983" s="80">
        <v>52.14</v>
      </c>
      <c r="F2983" s="82">
        <f>-((D2983-C2983)/D2983)</f>
        <v>0.02620057101991347</v>
      </c>
      <c r="G2983" s="81">
        <f>C2983-D2983</f>
        <v>1.838232062757129</v>
      </c>
      <c r="H2983" s="80">
        <v>710</v>
      </c>
      <c r="I2983" s="80" t="s">
        <v>370</v>
      </c>
    </row>
    <row r="2984" spans="2:9" ht="12.75">
      <c r="B2984" s="79" t="s">
        <v>301</v>
      </c>
      <c r="C2984" s="81">
        <f>(6/5)^1.77*E2984</f>
        <v>70.10644882673915</v>
      </c>
      <c r="D2984" s="80">
        <v>69.19</v>
      </c>
      <c r="E2984" s="80">
        <v>50.77</v>
      </c>
      <c r="F2984" s="82">
        <f>-((D2984-C2984)/D2984)</f>
        <v>0.01324539422950074</v>
      </c>
      <c r="G2984" s="81">
        <f>C2984-D2984</f>
        <v>0.9164488267391562</v>
      </c>
      <c r="H2984" s="80">
        <v>710</v>
      </c>
      <c r="I2984" s="80" t="s">
        <v>370</v>
      </c>
    </row>
    <row r="2985" spans="2:9" ht="12.75">
      <c r="B2985" s="79" t="s">
        <v>91</v>
      </c>
      <c r="C2985" s="81">
        <f>(6/5)^1.77*E2985</f>
        <v>63.92017955859277</v>
      </c>
      <c r="D2985" s="80">
        <v>61.96</v>
      </c>
      <c r="E2985" s="80">
        <v>46.29</v>
      </c>
      <c r="F2985" s="82">
        <f>-((D2985-C2985)/D2985)</f>
        <v>0.031636209790070535</v>
      </c>
      <c r="G2985" s="81">
        <f>C2985-D2985</f>
        <v>1.9601795585927704</v>
      </c>
      <c r="H2985" s="80">
        <v>710</v>
      </c>
      <c r="I2985" s="80" t="s">
        <v>370</v>
      </c>
    </row>
    <row r="2986" spans="2:9" ht="12.75">
      <c r="B2986" s="79" t="s">
        <v>92</v>
      </c>
      <c r="C2986" s="81">
        <f>(6/5)^1.77*E2986</f>
        <v>52.30711604405907</v>
      </c>
      <c r="D2986" s="80">
        <v>51.1</v>
      </c>
      <c r="E2986" s="80">
        <v>37.88</v>
      </c>
      <c r="F2986" s="82">
        <f>-((D2986-C2986)/D2986)</f>
        <v>0.023622623171410374</v>
      </c>
      <c r="G2986" s="81">
        <f>C2986-D2986</f>
        <v>1.2071160440590702</v>
      </c>
      <c r="H2986" s="80">
        <v>710</v>
      </c>
      <c r="I2986" s="80" t="s">
        <v>370</v>
      </c>
    </row>
    <row r="2987" spans="2:9" ht="12.75">
      <c r="B2987" s="79" t="s">
        <v>93</v>
      </c>
      <c r="C2987" s="81">
        <f>(6/5)^1.77*E2987</f>
        <v>35.391536013971326</v>
      </c>
      <c r="D2987" s="80">
        <v>33.64</v>
      </c>
      <c r="E2987" s="80">
        <v>25.63</v>
      </c>
      <c r="F2987" s="82">
        <f>-((D2987-C2987)/D2987)</f>
        <v>0.05206706343553285</v>
      </c>
      <c r="G2987" s="81">
        <f>C2987-D2987</f>
        <v>1.7515360139713252</v>
      </c>
      <c r="H2987" s="80">
        <v>710</v>
      </c>
      <c r="I2987" s="80" t="s">
        <v>370</v>
      </c>
    </row>
    <row r="2988" spans="2:9" ht="12.75">
      <c r="B2988" s="79" t="s">
        <v>44</v>
      </c>
      <c r="C2988" s="81">
        <f>(6/5)^1.77*E2988</f>
        <v>39.81029977693302</v>
      </c>
      <c r="D2988" s="80">
        <v>38.91</v>
      </c>
      <c r="E2988" s="80">
        <v>28.83</v>
      </c>
      <c r="F2988" s="82">
        <f>-((D2988-C2988)/D2988)</f>
        <v>0.02313800506124454</v>
      </c>
      <c r="G2988" s="81">
        <f>C2988-D2988</f>
        <v>0.900299776933025</v>
      </c>
      <c r="H2988" s="80">
        <v>710</v>
      </c>
      <c r="I2988" s="80" t="s">
        <v>370</v>
      </c>
    </row>
    <row r="2989" spans="2:9" ht="12.75">
      <c r="B2989" s="79" t="s">
        <v>96</v>
      </c>
      <c r="C2989" s="81">
        <f>(6/5)^1.77*E2989</f>
        <v>59.79139716757543</v>
      </c>
      <c r="D2989" s="80">
        <v>61.74</v>
      </c>
      <c r="E2989" s="80">
        <v>43.3</v>
      </c>
      <c r="F2989" s="82">
        <f>-((D2989-C2989)/D2989)</f>
        <v>-0.031561432335998854</v>
      </c>
      <c r="G2989" s="81">
        <f>C2989-D2989</f>
        <v>-1.9486028324245694</v>
      </c>
      <c r="H2989" s="80">
        <v>710</v>
      </c>
      <c r="I2989" s="80" t="s">
        <v>370</v>
      </c>
    </row>
    <row r="2990" spans="2:9" ht="12.75">
      <c r="B2990" s="79" t="s">
        <v>148</v>
      </c>
      <c r="C2990" s="81">
        <f>(6/5)^1.77*E2990</f>
        <v>72.50915162284956</v>
      </c>
      <c r="D2990" s="80">
        <v>72.94</v>
      </c>
      <c r="E2990" s="80">
        <v>52.51</v>
      </c>
      <c r="F2990" s="82">
        <f>-((D2990-C2990)/D2990)</f>
        <v>-0.005906887539764737</v>
      </c>
      <c r="G2990" s="81">
        <f>C2990-D2990</f>
        <v>-0.4308483771504399</v>
      </c>
      <c r="H2990" s="80">
        <v>710</v>
      </c>
      <c r="I2990" s="80" t="s">
        <v>370</v>
      </c>
    </row>
    <row r="2991" spans="2:9" ht="12.75">
      <c r="B2991" s="79" t="s">
        <v>122</v>
      </c>
      <c r="C2991" s="81">
        <f>(6/5)^1.77*E2991</f>
        <v>70.09264018997989</v>
      </c>
      <c r="D2991" s="80">
        <v>71.71</v>
      </c>
      <c r="E2991" s="80">
        <v>50.76</v>
      </c>
      <c r="F2991" s="82">
        <f>-((D2991-C2991)/D2991)</f>
        <v>-0.022554173895134637</v>
      </c>
      <c r="G2991" s="81">
        <f>C2991-D2991</f>
        <v>-1.6173598100201048</v>
      </c>
      <c r="H2991" s="80">
        <v>710</v>
      </c>
      <c r="I2991" s="80" t="s">
        <v>370</v>
      </c>
    </row>
    <row r="2992" spans="2:9" ht="12.75">
      <c r="B2992" s="79" t="s">
        <v>97</v>
      </c>
      <c r="C2992" s="81">
        <f>(6/5)^1.77*E2992</f>
        <v>63.602580913129906</v>
      </c>
      <c r="D2992" s="80">
        <v>66.28</v>
      </c>
      <c r="E2992" s="80">
        <v>46.06</v>
      </c>
      <c r="F2992" s="82">
        <f>-((D2992-C2992)/D2992)</f>
        <v>-0.0403955806709429</v>
      </c>
      <c r="G2992" s="81">
        <f>C2992-D2992</f>
        <v>-2.6774190868700956</v>
      </c>
      <c r="H2992" s="80">
        <v>710</v>
      </c>
      <c r="I2992" s="80" t="s">
        <v>370</v>
      </c>
    </row>
    <row r="2993" spans="2:9" ht="12.75">
      <c r="B2993" s="79" t="s">
        <v>98</v>
      </c>
      <c r="C2993" s="81">
        <f>(6/5)^1.77*E2993</f>
        <v>52.81803560415151</v>
      </c>
      <c r="D2993" s="80">
        <v>55.31</v>
      </c>
      <c r="E2993" s="80">
        <v>38.25</v>
      </c>
      <c r="F2993" s="82">
        <f>-((D2993-C2993)/D2993)</f>
        <v>-0.04505450001534064</v>
      </c>
      <c r="G2993" s="81">
        <f>C2993-D2993</f>
        <v>-2.491964395848491</v>
      </c>
      <c r="H2993" s="80">
        <v>710</v>
      </c>
      <c r="I2993" s="80" t="s">
        <v>370</v>
      </c>
    </row>
    <row r="2994" spans="2:9" ht="12.75">
      <c r="B2994" s="79" t="s">
        <v>101</v>
      </c>
      <c r="C2994" s="81">
        <f>(6/5)^1.77*E2994</f>
        <v>67.88325830849904</v>
      </c>
      <c r="D2994" s="80">
        <v>68.74</v>
      </c>
      <c r="E2994" s="80">
        <v>49.16</v>
      </c>
      <c r="F2994" s="82">
        <f>-((D2994-C2994)/D2994)</f>
        <v>-0.012463510205134674</v>
      </c>
      <c r="G2994" s="81">
        <f>C2994-D2994</f>
        <v>-0.8567416915009574</v>
      </c>
      <c r="H2994" s="80">
        <v>710</v>
      </c>
      <c r="I2994" s="80" t="s">
        <v>370</v>
      </c>
    </row>
    <row r="2995" spans="2:9" ht="12.75">
      <c r="B2995" s="79" t="s">
        <v>103</v>
      </c>
      <c r="C2995" s="81">
        <f>(6/5)^1.77*E2995</f>
        <v>48.040247285449176</v>
      </c>
      <c r="D2995" s="80">
        <v>47.09</v>
      </c>
      <c r="E2995" s="80">
        <v>34.79</v>
      </c>
      <c r="F2995" s="82">
        <f>-((D2995-C2995)/D2995)</f>
        <v>0.02017938597258808</v>
      </c>
      <c r="G2995" s="81">
        <f>C2995-D2995</f>
        <v>0.9502472854491728</v>
      </c>
      <c r="H2995" s="80">
        <v>710</v>
      </c>
      <c r="I2995" s="80" t="s">
        <v>370</v>
      </c>
    </row>
    <row r="2996" spans="2:9" ht="12.75">
      <c r="B2996" s="79" t="s">
        <v>104</v>
      </c>
      <c r="C2996" s="81">
        <f>(6/5)^1.77*E2996</f>
        <v>40.127898422395894</v>
      </c>
      <c r="D2996" s="80">
        <v>41.21</v>
      </c>
      <c r="E2996" s="80">
        <v>29.06</v>
      </c>
      <c r="F2996" s="82">
        <f>-((D2996-C2996)/D2996)</f>
        <v>-0.02625822804183709</v>
      </c>
      <c r="G2996" s="81">
        <f>C2996-D2996</f>
        <v>-1.0821015776041065</v>
      </c>
      <c r="H2996" s="80">
        <v>710</v>
      </c>
      <c r="I2996" s="80" t="s">
        <v>370</v>
      </c>
    </row>
    <row r="2997" spans="2:9" ht="12.75">
      <c r="B2997" s="79" t="s">
        <v>107</v>
      </c>
      <c r="C2997" s="81">
        <f>(6/5)^1.77*E2997</f>
        <v>52.196646949985016</v>
      </c>
      <c r="D2997" s="80">
        <v>52.37</v>
      </c>
      <c r="E2997" s="80">
        <v>37.8</v>
      </c>
      <c r="F2997" s="82">
        <f>-((D2997-C2997)/D2997)</f>
        <v>-0.003310159442714935</v>
      </c>
      <c r="G2997" s="81">
        <f>C2997-D2997</f>
        <v>-0.17335305001498114</v>
      </c>
      <c r="H2997" s="80">
        <v>710</v>
      </c>
      <c r="I2997" s="80" t="s">
        <v>370</v>
      </c>
    </row>
    <row r="2998" spans="2:9" ht="12.75">
      <c r="B2998" s="79" t="s">
        <v>83</v>
      </c>
      <c r="C2998" s="81">
        <f>(6/5)^1.77*E2998</f>
        <v>46.47987133165333</v>
      </c>
      <c r="D2998" s="80">
        <v>46.52</v>
      </c>
      <c r="E2998" s="80">
        <v>33.66</v>
      </c>
      <c r="F2998" s="82">
        <f>-((D2998-C2998)/D2998)</f>
        <v>-0.0008626110994556116</v>
      </c>
      <c r="G2998" s="81">
        <f>C2998-D2998</f>
        <v>-0.040128668346675056</v>
      </c>
      <c r="H2998" s="80">
        <v>710</v>
      </c>
      <c r="I2998" s="80" t="s">
        <v>370</v>
      </c>
    </row>
    <row r="2999" spans="2:8" ht="12.75">
      <c r="B2999" s="79"/>
      <c r="C2999" s="81"/>
      <c r="D2999" s="80"/>
      <c r="E2999" s="80" t="s">
        <v>14</v>
      </c>
      <c r="F2999" s="82">
        <f>AVERAGE(F2983:F2998)</f>
        <v>0.00010763558962103193</v>
      </c>
      <c r="G2999" s="81">
        <f>AVERAGE(G2983:G2998)</f>
        <v>-0.11215374507992326</v>
      </c>
      <c r="H2999" s="80"/>
    </row>
    <row r="3000" spans="2:8" ht="12.75">
      <c r="B3000" s="79"/>
      <c r="C3000" s="81"/>
      <c r="D3000" s="80"/>
      <c r="E3000" s="80"/>
      <c r="F3000" s="82"/>
      <c r="G3000" s="81"/>
      <c r="H3000" s="80"/>
    </row>
    <row r="3001" spans="1:9" ht="12.75">
      <c r="A3001" s="83" t="s">
        <v>0</v>
      </c>
      <c r="B3001" s="83" t="s">
        <v>1</v>
      </c>
      <c r="C3001" s="84" t="s">
        <v>247</v>
      </c>
      <c r="D3001" s="84" t="s">
        <v>194</v>
      </c>
      <c r="E3001" s="84" t="s">
        <v>218</v>
      </c>
      <c r="F3001" s="84" t="s">
        <v>5</v>
      </c>
      <c r="G3001" s="84" t="s">
        <v>6</v>
      </c>
      <c r="H3001" s="84" t="s">
        <v>7</v>
      </c>
      <c r="I3001" s="84" t="s">
        <v>8</v>
      </c>
    </row>
    <row r="3002" spans="1:9" ht="12.75">
      <c r="A3002" s="83" t="s">
        <v>372</v>
      </c>
      <c r="B3002" s="83" t="s">
        <v>299</v>
      </c>
      <c r="C3002" s="85">
        <f>(6/5)^2*E3002</f>
        <v>75.0816</v>
      </c>
      <c r="D3002" s="84">
        <v>70.16</v>
      </c>
      <c r="E3002" s="84">
        <v>52.14</v>
      </c>
      <c r="F3002" s="86">
        <f>-((D3002-C3002)/D3002)</f>
        <v>0.07014823261117444</v>
      </c>
      <c r="G3002" s="85">
        <f>C3002-D3002</f>
        <v>4.921599999999998</v>
      </c>
      <c r="H3002" s="84">
        <v>710</v>
      </c>
      <c r="I3002" s="84" t="s">
        <v>370</v>
      </c>
    </row>
    <row r="3003" spans="1:9" ht="12.75">
      <c r="A3003" s="5"/>
      <c r="B3003" s="83" t="s">
        <v>301</v>
      </c>
      <c r="C3003" s="85">
        <f>(6/5)^2*E3003</f>
        <v>73.1088</v>
      </c>
      <c r="D3003" s="84">
        <v>69.19</v>
      </c>
      <c r="E3003" s="84">
        <v>50.77</v>
      </c>
      <c r="F3003" s="86">
        <f>-((D3003-C3003)/D3003)</f>
        <v>0.05663824252059553</v>
      </c>
      <c r="G3003" s="85">
        <f>C3003-D3003</f>
        <v>3.9188000000000045</v>
      </c>
      <c r="H3003" s="84">
        <v>710</v>
      </c>
      <c r="I3003" s="84" t="s">
        <v>370</v>
      </c>
    </row>
    <row r="3004" spans="1:9" ht="12.75">
      <c r="A3004" s="5"/>
      <c r="B3004" s="83" t="s">
        <v>91</v>
      </c>
      <c r="C3004" s="85">
        <f>(6/5)^2*E3004</f>
        <v>66.6576</v>
      </c>
      <c r="D3004" s="84">
        <v>61.96</v>
      </c>
      <c r="E3004" s="84">
        <v>46.29</v>
      </c>
      <c r="F3004" s="86">
        <f>-((D3004-C3004)/D3004)</f>
        <v>0.07581665590703682</v>
      </c>
      <c r="G3004" s="85">
        <f>C3004-D3004</f>
        <v>4.697600000000001</v>
      </c>
      <c r="H3004" s="84">
        <v>710</v>
      </c>
      <c r="I3004" s="84" t="s">
        <v>370</v>
      </c>
    </row>
    <row r="3005" spans="1:9" ht="12.75">
      <c r="A3005" s="5"/>
      <c r="B3005" s="83" t="s">
        <v>92</v>
      </c>
      <c r="C3005" s="85">
        <f>(6/5)^2*E3005</f>
        <v>54.547200000000004</v>
      </c>
      <c r="D3005" s="84">
        <v>51.1</v>
      </c>
      <c r="E3005" s="84">
        <v>37.88</v>
      </c>
      <c r="F3005" s="86">
        <f>-((D3005-C3005)/D3005)</f>
        <v>0.0674598825831703</v>
      </c>
      <c r="G3005" s="85">
        <f>C3005-D3005</f>
        <v>3.4472000000000023</v>
      </c>
      <c r="H3005" s="84">
        <v>710</v>
      </c>
      <c r="I3005" s="84" t="s">
        <v>370</v>
      </c>
    </row>
    <row r="3006" spans="1:9" ht="12.75">
      <c r="A3006" s="5"/>
      <c r="B3006" s="83" t="s">
        <v>93</v>
      </c>
      <c r="C3006" s="85">
        <f>(6/5)^2*E3006</f>
        <v>36.907199999999996</v>
      </c>
      <c r="D3006" s="84">
        <v>33.64</v>
      </c>
      <c r="E3006" s="84">
        <v>25.63</v>
      </c>
      <c r="F3006" s="86">
        <f>-((D3006-C3006)/D3006)</f>
        <v>0.09712247324613542</v>
      </c>
      <c r="G3006" s="85">
        <f>C3006-D3006</f>
        <v>3.2671999999999954</v>
      </c>
      <c r="H3006" s="84">
        <v>710</v>
      </c>
      <c r="I3006" s="84" t="s">
        <v>370</v>
      </c>
    </row>
    <row r="3007" spans="1:9" ht="12.75">
      <c r="A3007" s="5"/>
      <c r="B3007" s="83" t="s">
        <v>44</v>
      </c>
      <c r="C3007" s="85">
        <f>(6/5)^2*E3007</f>
        <v>41.51519999999999</v>
      </c>
      <c r="D3007" s="84">
        <v>38.91</v>
      </c>
      <c r="E3007" s="84">
        <v>28.83</v>
      </c>
      <c r="F3007" s="86">
        <f>-((D3007-C3007)/D3007)</f>
        <v>0.06695451040863523</v>
      </c>
      <c r="G3007" s="85">
        <f>C3007-D3007</f>
        <v>2.6051999999999964</v>
      </c>
      <c r="H3007" s="84">
        <v>710</v>
      </c>
      <c r="I3007" s="84" t="s">
        <v>370</v>
      </c>
    </row>
    <row r="3008" spans="1:9" ht="12.75">
      <c r="A3008" s="5"/>
      <c r="B3008" s="83" t="s">
        <v>96</v>
      </c>
      <c r="C3008" s="85">
        <f>(6/5)^2*E3008</f>
        <v>62.352</v>
      </c>
      <c r="D3008" s="84">
        <v>61.74</v>
      </c>
      <c r="E3008" s="84">
        <v>43.3</v>
      </c>
      <c r="F3008" s="86">
        <f>-((D3008-C3008)/D3008)</f>
        <v>0.009912536443148602</v>
      </c>
      <c r="G3008" s="85">
        <f>C3008-D3008</f>
        <v>0.6119999999999948</v>
      </c>
      <c r="H3008" s="84">
        <v>710</v>
      </c>
      <c r="I3008" s="84" t="s">
        <v>370</v>
      </c>
    </row>
    <row r="3009" spans="1:9" ht="12.75">
      <c r="A3009" s="5"/>
      <c r="B3009" s="83" t="s">
        <v>148</v>
      </c>
      <c r="C3009" s="85">
        <f>(6/5)^2*E3009</f>
        <v>75.61439999999999</v>
      </c>
      <c r="D3009" s="84">
        <v>72.94</v>
      </c>
      <c r="E3009" s="84">
        <v>52.51</v>
      </c>
      <c r="F3009" s="86">
        <f>-((D3009-C3009)/D3009)</f>
        <v>0.0366657526734301</v>
      </c>
      <c r="G3009" s="85">
        <f>C3009-D3009</f>
        <v>2.6743999999999915</v>
      </c>
      <c r="H3009" s="84">
        <v>710</v>
      </c>
      <c r="I3009" s="84" t="s">
        <v>370</v>
      </c>
    </row>
    <row r="3010" spans="1:9" ht="12.75">
      <c r="A3010" s="5"/>
      <c r="B3010" s="83" t="s">
        <v>122</v>
      </c>
      <c r="C3010" s="85">
        <f>(6/5)^2*E3010</f>
        <v>73.0944</v>
      </c>
      <c r="D3010" s="84">
        <v>71.71</v>
      </c>
      <c r="E3010" s="84">
        <v>50.76</v>
      </c>
      <c r="F3010" s="86">
        <f>-((D3010-C3010)/D3010)</f>
        <v>0.019305536187421552</v>
      </c>
      <c r="G3010" s="85">
        <f>C3010-D3010</f>
        <v>1.3843999999999994</v>
      </c>
      <c r="H3010" s="84">
        <v>710</v>
      </c>
      <c r="I3010" s="84" t="s">
        <v>370</v>
      </c>
    </row>
    <row r="3011" spans="1:9" ht="12.75">
      <c r="A3011" s="5"/>
      <c r="B3011" s="83" t="s">
        <v>97</v>
      </c>
      <c r="C3011" s="85">
        <f>(6/5)^2*E3011</f>
        <v>66.3264</v>
      </c>
      <c r="D3011" s="84">
        <v>66.28</v>
      </c>
      <c r="E3011" s="84">
        <v>46.06</v>
      </c>
      <c r="F3011" s="86">
        <f>-((D3011-C3011)/D3011)</f>
        <v>0.0007000603500302588</v>
      </c>
      <c r="G3011" s="85">
        <f>C3011-D3011</f>
        <v>0.04640000000000555</v>
      </c>
      <c r="H3011" s="84">
        <v>710</v>
      </c>
      <c r="I3011" s="84" t="s">
        <v>370</v>
      </c>
    </row>
    <row r="3012" spans="1:9" ht="12.75">
      <c r="A3012" s="5"/>
      <c r="B3012" s="83" t="s">
        <v>98</v>
      </c>
      <c r="C3012" s="85">
        <f>(6/5)^2*E3012</f>
        <v>55.08</v>
      </c>
      <c r="D3012" s="84">
        <v>55.31</v>
      </c>
      <c r="E3012" s="84">
        <v>38.25</v>
      </c>
      <c r="F3012" s="86">
        <f>-((D3012-C3012)/D3012)</f>
        <v>-0.004158380039775881</v>
      </c>
      <c r="G3012" s="85">
        <f>C3012-D3012</f>
        <v>-0.23000000000000398</v>
      </c>
      <c r="H3012" s="84">
        <v>710</v>
      </c>
      <c r="I3012" s="84" t="s">
        <v>370</v>
      </c>
    </row>
    <row r="3013" spans="1:9" ht="12.75">
      <c r="A3013" s="5"/>
      <c r="B3013" s="83" t="s">
        <v>101</v>
      </c>
      <c r="C3013" s="85">
        <f>(6/5)^2*E3013</f>
        <v>70.79039999999999</v>
      </c>
      <c r="D3013" s="84">
        <v>68.74</v>
      </c>
      <c r="E3013" s="84">
        <v>49.16</v>
      </c>
      <c r="F3013" s="86">
        <f>-((D3013-C3013)/D3013)</f>
        <v>0.029828338667442486</v>
      </c>
      <c r="G3013" s="85">
        <f>C3013-D3013</f>
        <v>2.0503999999999962</v>
      </c>
      <c r="H3013" s="84">
        <v>710</v>
      </c>
      <c r="I3013" s="84" t="s">
        <v>370</v>
      </c>
    </row>
    <row r="3014" spans="1:9" ht="12.75">
      <c r="A3014" s="5"/>
      <c r="B3014" s="83" t="s">
        <v>103</v>
      </c>
      <c r="C3014" s="85">
        <f>(6/5)^2*E3014</f>
        <v>50.0976</v>
      </c>
      <c r="D3014" s="84">
        <v>47.09</v>
      </c>
      <c r="E3014" s="84">
        <v>34.79</v>
      </c>
      <c r="F3014" s="86">
        <f>-((D3014-C3014)/D3014)</f>
        <v>0.06386918666383513</v>
      </c>
      <c r="G3014" s="85">
        <f>C3014-D3014</f>
        <v>3.0075999999999965</v>
      </c>
      <c r="H3014" s="84">
        <v>710</v>
      </c>
      <c r="I3014" s="84" t="s">
        <v>370</v>
      </c>
    </row>
    <row r="3015" spans="1:9" ht="12.75">
      <c r="A3015" s="5"/>
      <c r="B3015" s="83" t="s">
        <v>104</v>
      </c>
      <c r="C3015" s="85">
        <f>(6/5)^2*E3015</f>
        <v>41.846399999999996</v>
      </c>
      <c r="D3015" s="84">
        <v>41.21</v>
      </c>
      <c r="E3015" s="84">
        <v>29.06</v>
      </c>
      <c r="F3015" s="86">
        <f>-((D3015-C3015)/D3015)</f>
        <v>0.015442853676292034</v>
      </c>
      <c r="G3015" s="85">
        <f>C3015-D3015</f>
        <v>0.6363999999999947</v>
      </c>
      <c r="H3015" s="84">
        <v>710</v>
      </c>
      <c r="I3015" s="84" t="s">
        <v>370</v>
      </c>
    </row>
    <row r="3016" spans="1:9" ht="12.75">
      <c r="A3016" s="5"/>
      <c r="B3016" s="83" t="s">
        <v>107</v>
      </c>
      <c r="C3016" s="85">
        <f>(6/5)^2*E3016</f>
        <v>54.431999999999995</v>
      </c>
      <c r="D3016" s="84">
        <v>52.37</v>
      </c>
      <c r="E3016" s="84">
        <v>37.8</v>
      </c>
      <c r="F3016" s="86">
        <f>-((D3016-C3016)/D3016)</f>
        <v>0.039373687225510746</v>
      </c>
      <c r="G3016" s="85">
        <f>C3016-D3016</f>
        <v>2.0619999999999976</v>
      </c>
      <c r="H3016" s="84">
        <v>710</v>
      </c>
      <c r="I3016" s="84" t="s">
        <v>370</v>
      </c>
    </row>
    <row r="3017" spans="1:9" ht="12.75">
      <c r="A3017" s="5"/>
      <c r="B3017" s="83" t="s">
        <v>83</v>
      </c>
      <c r="C3017" s="85">
        <f>(6/5)^2*E3017</f>
        <v>48.47039999999999</v>
      </c>
      <c r="D3017" s="84">
        <v>46.52</v>
      </c>
      <c r="E3017" s="84">
        <v>33.66</v>
      </c>
      <c r="F3017" s="86">
        <f>-((D3017-C3017)/D3017)</f>
        <v>0.04192605331040386</v>
      </c>
      <c r="G3017" s="85">
        <f>C3017-D3017</f>
        <v>1.9503999999999877</v>
      </c>
      <c r="H3017" s="84">
        <v>710</v>
      </c>
      <c r="I3017" s="84" t="s">
        <v>370</v>
      </c>
    </row>
    <row r="3018" spans="1:8" ht="12.75">
      <c r="A3018" s="5"/>
      <c r="B3018" s="5"/>
      <c r="C3018" s="5"/>
      <c r="D3018" s="5"/>
      <c r="E3018" s="84" t="s">
        <v>14</v>
      </c>
      <c r="F3018" s="86">
        <f>AVERAGE(F3002:F3017)</f>
        <v>0.04293785140215542</v>
      </c>
      <c r="G3018" s="85">
        <f>AVERAGE(G3002:G3017)</f>
        <v>2.3157249999999974</v>
      </c>
      <c r="H3018" s="5"/>
    </row>
    <row r="3019" spans="2:8" ht="12.75">
      <c r="B3019" s="69"/>
      <c r="C3019" s="71"/>
      <c r="D3019" s="70"/>
      <c r="E3019" s="70"/>
      <c r="F3019" s="72"/>
      <c r="G3019" s="71"/>
      <c r="H3019" s="70"/>
    </row>
    <row r="3020" spans="1:9" ht="12.75">
      <c r="A3020" s="69" t="s">
        <v>0</v>
      </c>
      <c r="B3020" s="69" t="s">
        <v>1</v>
      </c>
      <c r="C3020" s="70" t="s">
        <v>374</v>
      </c>
      <c r="D3020" s="70" t="s">
        <v>218</v>
      </c>
      <c r="E3020" s="70" t="s">
        <v>73</v>
      </c>
      <c r="F3020" s="70" t="s">
        <v>5</v>
      </c>
      <c r="G3020" s="70" t="s">
        <v>6</v>
      </c>
      <c r="H3020" s="70" t="s">
        <v>7</v>
      </c>
      <c r="I3020" s="70" t="s">
        <v>8</v>
      </c>
    </row>
    <row r="3021" spans="1:9" ht="12.75">
      <c r="A3021" s="69" t="s">
        <v>375</v>
      </c>
      <c r="B3021" s="69" t="s">
        <v>316</v>
      </c>
      <c r="C3021" s="71">
        <f>(5/4)^1.74*E3021</f>
        <v>69.20962687991779</v>
      </c>
      <c r="D3021" s="70">
        <v>66.33</v>
      </c>
      <c r="E3021" s="70">
        <v>46.94</v>
      </c>
      <c r="F3021" s="72">
        <f>-((D3021-C3021)/D3021)</f>
        <v>0.043413642091328114</v>
      </c>
      <c r="G3021" s="71">
        <f>C3021-D3021</f>
        <v>2.8796268799177938</v>
      </c>
      <c r="H3021" s="70">
        <v>610</v>
      </c>
      <c r="I3021" s="70" t="s">
        <v>376</v>
      </c>
    </row>
    <row r="3022" spans="2:9" ht="12.75">
      <c r="B3022" s="69" t="s">
        <v>312</v>
      </c>
      <c r="C3022" s="71">
        <f>(5/4)^1.74*E3022</f>
        <v>59.69956950080682</v>
      </c>
      <c r="D3022" s="70">
        <v>57.06</v>
      </c>
      <c r="E3022" s="70">
        <v>40.49</v>
      </c>
      <c r="F3022" s="72">
        <f>-((D3022-C3022)/D3022)</f>
        <v>0.046259542600890546</v>
      </c>
      <c r="G3022" s="71">
        <f>C3022-D3022</f>
        <v>2.6395695008068145</v>
      </c>
      <c r="H3022" s="70">
        <v>610</v>
      </c>
      <c r="I3022" s="70" t="s">
        <v>376</v>
      </c>
    </row>
    <row r="3023" spans="2:9" ht="12.75">
      <c r="B3023" s="69" t="s">
        <v>300</v>
      </c>
      <c r="C3023" s="71">
        <f>(5/4)^1.74*E3023</f>
        <v>53.964046523327475</v>
      </c>
      <c r="D3023" s="70">
        <v>50.07</v>
      </c>
      <c r="E3023" s="70">
        <v>36.6</v>
      </c>
      <c r="F3023" s="72">
        <f>-((D3023-C3023)/D3023)</f>
        <v>0.07777204959711354</v>
      </c>
      <c r="G3023" s="71">
        <f>C3023-D3023</f>
        <v>3.894046523327475</v>
      </c>
      <c r="H3023" s="70">
        <v>610</v>
      </c>
      <c r="I3023" s="70" t="s">
        <v>376</v>
      </c>
    </row>
    <row r="3024" spans="2:9" ht="12.75">
      <c r="B3024" s="69" t="s">
        <v>299</v>
      </c>
      <c r="C3024" s="71">
        <f>(5/4)^1.74*E3024</f>
        <v>37.58315699124637</v>
      </c>
      <c r="D3024" s="70">
        <v>36.66</v>
      </c>
      <c r="E3024" s="70">
        <v>25.49</v>
      </c>
      <c r="F3024" s="72">
        <f>-((D3024-C3024)/D3024)</f>
        <v>0.02518158732259609</v>
      </c>
      <c r="G3024" s="71">
        <f>C3024-D3024</f>
        <v>0.9231569912463726</v>
      </c>
      <c r="H3024" s="70">
        <v>610</v>
      </c>
      <c r="I3024" s="70" t="s">
        <v>376</v>
      </c>
    </row>
    <row r="3025" spans="2:9" ht="12.75">
      <c r="B3025" s="69" t="s">
        <v>301</v>
      </c>
      <c r="C3025" s="71">
        <f>(5/4)^1.74*E3025</f>
        <v>36.68375621585758</v>
      </c>
      <c r="D3025" s="70">
        <v>35.65</v>
      </c>
      <c r="E3025" s="70">
        <v>24.88</v>
      </c>
      <c r="F3025" s="72">
        <f>-((D3025-C3025)/D3025)</f>
        <v>0.028997369308768003</v>
      </c>
      <c r="G3025" s="71">
        <f>C3025-D3025</f>
        <v>1.0337562158575793</v>
      </c>
      <c r="H3025" s="70">
        <v>610</v>
      </c>
      <c r="I3025" s="70" t="s">
        <v>376</v>
      </c>
    </row>
    <row r="3026" spans="2:9" ht="12.75">
      <c r="B3026" s="69" t="s">
        <v>283</v>
      </c>
      <c r="C3026" s="71">
        <f>(5/4)^1.74*E3026</f>
        <v>63.267684052349225</v>
      </c>
      <c r="D3026" s="70">
        <v>64.23</v>
      </c>
      <c r="E3026" s="70">
        <v>42.91</v>
      </c>
      <c r="F3026" s="72">
        <f>-((D3026-C3026)/D3026)</f>
        <v>-0.01498234388371134</v>
      </c>
      <c r="G3026" s="71">
        <f>C3026-D3026</f>
        <v>-0.9623159476507794</v>
      </c>
      <c r="H3026" s="70">
        <v>610</v>
      </c>
      <c r="I3026" s="70" t="s">
        <v>376</v>
      </c>
    </row>
    <row r="3027" spans="2:9" ht="12.75">
      <c r="B3027" s="69" t="s">
        <v>288</v>
      </c>
      <c r="C3027" s="71">
        <f>(5/4)^1.74*E3027</f>
        <v>47.44707697051033</v>
      </c>
      <c r="D3027" s="70">
        <v>49.31</v>
      </c>
      <c r="E3027" s="70">
        <v>32.18</v>
      </c>
      <c r="F3027" s="72">
        <f>-((D3027-C3027)/D3027)</f>
        <v>-0.037779822135260016</v>
      </c>
      <c r="G3027" s="71">
        <f>C3027-D3027</f>
        <v>-1.8629230294896715</v>
      </c>
      <c r="H3027" s="70">
        <v>610</v>
      </c>
      <c r="I3027" s="70" t="s">
        <v>376</v>
      </c>
    </row>
    <row r="3028" spans="2:9" ht="12.75">
      <c r="B3028" s="69" t="s">
        <v>320</v>
      </c>
      <c r="C3028" s="71">
        <f>(5/4)^1.74*E3028</f>
        <v>61.08553135140593</v>
      </c>
      <c r="D3028" s="70">
        <v>63.63</v>
      </c>
      <c r="E3028" s="70">
        <v>41.43</v>
      </c>
      <c r="F3028" s="72">
        <f>-((D3028-C3028)/D3028)</f>
        <v>-0.039988506185668224</v>
      </c>
      <c r="G3028" s="71">
        <f>C3028-D3028</f>
        <v>-2.5444686485940693</v>
      </c>
      <c r="H3028" s="70">
        <v>610</v>
      </c>
      <c r="I3028" s="70" t="s">
        <v>376</v>
      </c>
    </row>
    <row r="3029" spans="2:9" ht="12.75">
      <c r="B3029" s="69" t="s">
        <v>284</v>
      </c>
      <c r="C3029" s="71">
        <f>(5/4)^1.74*E3029</f>
        <v>59.99445500093428</v>
      </c>
      <c r="D3029" s="70">
        <v>60.49</v>
      </c>
      <c r="E3029" s="70">
        <v>40.69</v>
      </c>
      <c r="F3029" s="72">
        <f>-((D3029-C3029)/D3029)</f>
        <v>-0.008192180510261556</v>
      </c>
      <c r="G3029" s="71">
        <f>C3029-D3029</f>
        <v>-0.49554499906572147</v>
      </c>
      <c r="H3029" s="70">
        <v>610</v>
      </c>
      <c r="I3029" s="70" t="s">
        <v>376</v>
      </c>
    </row>
    <row r="3030" spans="2:9" ht="12.75">
      <c r="B3030" s="69" t="s">
        <v>286</v>
      </c>
      <c r="C3030" s="71">
        <f>(5/4)^1.74*E3030</f>
        <v>52.43064192266462</v>
      </c>
      <c r="D3030" s="70">
        <v>53.65</v>
      </c>
      <c r="E3030" s="70">
        <v>35.56</v>
      </c>
      <c r="F3030" s="72">
        <f>-((D3030-C3030)/D3030)</f>
        <v>-0.022728016352942755</v>
      </c>
      <c r="G3030" s="71">
        <f>C3030-D3030</f>
        <v>-1.2193580773353787</v>
      </c>
      <c r="H3030" s="70">
        <v>610</v>
      </c>
      <c r="I3030" s="70" t="s">
        <v>376</v>
      </c>
    </row>
    <row r="3031" spans="2:9" ht="12.75">
      <c r="B3031" s="69" t="s">
        <v>289</v>
      </c>
      <c r="C3031" s="71">
        <f>(5/4)^1.74*E3031</f>
        <v>47.948382320727035</v>
      </c>
      <c r="D3031" s="70">
        <v>49.77</v>
      </c>
      <c r="E3031" s="70">
        <v>32.52</v>
      </c>
      <c r="F3031" s="72">
        <f>-((D3031-C3031)/D3031)</f>
        <v>-0.03660071688312173</v>
      </c>
      <c r="G3031" s="71">
        <f>C3031-D3031</f>
        <v>-1.8216176792729684</v>
      </c>
      <c r="H3031" s="70">
        <v>610</v>
      </c>
      <c r="I3031" s="70" t="s">
        <v>376</v>
      </c>
    </row>
    <row r="3032" spans="2:9" ht="12.75">
      <c r="B3032" s="69" t="s">
        <v>308</v>
      </c>
      <c r="C3032" s="71">
        <f>(5/4)^1.74*E3032</f>
        <v>59.33096262564747</v>
      </c>
      <c r="D3032" s="70">
        <v>57.77</v>
      </c>
      <c r="E3032" s="70">
        <v>40.24</v>
      </c>
      <c r="F3032" s="72">
        <f>-((D3032-C3032)/D3032)</f>
        <v>0.02702029817634533</v>
      </c>
      <c r="G3032" s="71">
        <f>C3032-D3032</f>
        <v>1.5609626256474698</v>
      </c>
      <c r="H3032" s="70">
        <v>610</v>
      </c>
      <c r="I3032" s="70" t="s">
        <v>376</v>
      </c>
    </row>
    <row r="3033" spans="2:9" ht="12.75">
      <c r="B3033" s="69" t="s">
        <v>287</v>
      </c>
      <c r="C3033" s="71">
        <f>(5/4)^1.74*E3033</f>
        <v>50.07155792164484</v>
      </c>
      <c r="D3033" s="70">
        <v>53.41</v>
      </c>
      <c r="E3033" s="70">
        <v>33.96</v>
      </c>
      <c r="F3033" s="72">
        <f>-((D3033-C3033)/D3033)</f>
        <v>-0.06250593668517428</v>
      </c>
      <c r="G3033" s="71">
        <f>C3033-D3033</f>
        <v>-3.3384420783551576</v>
      </c>
      <c r="H3033" s="70">
        <v>610</v>
      </c>
      <c r="I3033" s="70" t="s">
        <v>376</v>
      </c>
    </row>
    <row r="3034" spans="2:9" ht="12.75">
      <c r="B3034" s="69" t="s">
        <v>242</v>
      </c>
      <c r="C3034" s="71">
        <f>(5/4)^1.74*E3034</f>
        <v>43.525099818814944</v>
      </c>
      <c r="D3034" s="70">
        <v>43.7</v>
      </c>
      <c r="E3034" s="70">
        <v>29.52</v>
      </c>
      <c r="F3034" s="72">
        <f>-((D3034-C3034)/D3034)</f>
        <v>-0.004002292475630641</v>
      </c>
      <c r="G3034" s="71">
        <f>C3034-D3034</f>
        <v>-0.174900181185059</v>
      </c>
      <c r="H3034" s="70">
        <v>610</v>
      </c>
      <c r="I3034" s="70" t="s">
        <v>376</v>
      </c>
    </row>
    <row r="3035" spans="3:9" ht="12.75">
      <c r="C3035" s="71"/>
      <c r="D3035" s="70"/>
      <c r="E3035" s="70" t="s">
        <v>14</v>
      </c>
      <c r="F3035" s="72">
        <f>AVERAGE(F3021:F3034)</f>
        <v>0.0015617624275193632</v>
      </c>
      <c r="G3035" s="71">
        <f>AVERAGE(G3021:G3034)</f>
        <v>0.03653914970390711</v>
      </c>
      <c r="H3035" s="70"/>
      <c r="I3035" s="70"/>
    </row>
    <row r="3036" spans="3:9" ht="12.75">
      <c r="C3036" s="71"/>
      <c r="D3036" s="70"/>
      <c r="E3036" s="70"/>
      <c r="F3036" s="72"/>
      <c r="G3036" s="71"/>
      <c r="H3036" s="70"/>
      <c r="I3036" s="70"/>
    </row>
    <row r="3037" spans="1:9" ht="12.75">
      <c r="A3037" s="73" t="s">
        <v>0</v>
      </c>
      <c r="B3037" s="73" t="s">
        <v>1</v>
      </c>
      <c r="C3037" s="74" t="s">
        <v>219</v>
      </c>
      <c r="D3037" s="74" t="s">
        <v>218</v>
      </c>
      <c r="E3037" s="74" t="s">
        <v>73</v>
      </c>
      <c r="F3037" s="74" t="s">
        <v>5</v>
      </c>
      <c r="G3037" s="74" t="s">
        <v>6</v>
      </c>
      <c r="H3037" s="74" t="s">
        <v>7</v>
      </c>
      <c r="I3037" s="74" t="s">
        <v>8</v>
      </c>
    </row>
    <row r="3038" spans="1:9" ht="12.75">
      <c r="A3038" s="73" t="s">
        <v>375</v>
      </c>
      <c r="B3038" s="73" t="s">
        <v>316</v>
      </c>
      <c r="C3038" s="75">
        <f>(5/4)^2*E3038</f>
        <v>73.34375</v>
      </c>
      <c r="D3038" s="74">
        <v>66.33</v>
      </c>
      <c r="E3038" s="74">
        <v>46.94</v>
      </c>
      <c r="F3038" s="76">
        <f>-((D3038-C3038)/D3038)</f>
        <v>0.1057402382029248</v>
      </c>
      <c r="G3038" s="75">
        <f>C3038-D3038</f>
        <v>7.013750000000002</v>
      </c>
      <c r="H3038" s="74">
        <v>610</v>
      </c>
      <c r="I3038" s="74" t="s">
        <v>376</v>
      </c>
    </row>
    <row r="3039" spans="1:9" ht="12.75">
      <c r="A3039" s="5"/>
      <c r="B3039" s="73" t="s">
        <v>312</v>
      </c>
      <c r="C3039" s="75">
        <f>(5/4)^2*E3039</f>
        <v>63.265625</v>
      </c>
      <c r="D3039" s="74">
        <v>57.06</v>
      </c>
      <c r="E3039" s="74">
        <v>40.49</v>
      </c>
      <c r="F3039" s="76">
        <f>-((D3039-C3039)/D3039)</f>
        <v>0.10875613389414647</v>
      </c>
      <c r="G3039" s="75">
        <f>C3039-D3039</f>
        <v>6.205624999999998</v>
      </c>
      <c r="H3039" s="74">
        <v>610</v>
      </c>
      <c r="I3039" s="74" t="s">
        <v>376</v>
      </c>
    </row>
    <row r="3040" spans="1:9" ht="12.75">
      <c r="A3040" s="5"/>
      <c r="B3040" s="73" t="s">
        <v>300</v>
      </c>
      <c r="C3040" s="75">
        <f>(5/4)^2*E3040</f>
        <v>57.1875</v>
      </c>
      <c r="D3040" s="74">
        <v>50.07</v>
      </c>
      <c r="E3040" s="74">
        <v>36.6</v>
      </c>
      <c r="F3040" s="76">
        <f>-((D3040-C3040)/D3040)</f>
        <v>0.14215098861593767</v>
      </c>
      <c r="G3040" s="75">
        <f>C3040-D3040</f>
        <v>7.1175</v>
      </c>
      <c r="H3040" s="74">
        <v>610</v>
      </c>
      <c r="I3040" s="74" t="s">
        <v>376</v>
      </c>
    </row>
    <row r="3041" spans="1:9" ht="12.75">
      <c r="A3041" s="5"/>
      <c r="B3041" s="73" t="s">
        <v>299</v>
      </c>
      <c r="C3041" s="75">
        <f>(5/4)^2*E3041</f>
        <v>39.828125</v>
      </c>
      <c r="D3041" s="74">
        <v>36.66</v>
      </c>
      <c r="E3041" s="74">
        <v>25.49</v>
      </c>
      <c r="F3041" s="76">
        <f>-((D3041-C3041)/D3041)</f>
        <v>0.08641912165848346</v>
      </c>
      <c r="G3041" s="75">
        <f>C3041-D3041</f>
        <v>3.1681250000000034</v>
      </c>
      <c r="H3041" s="74">
        <v>610</v>
      </c>
      <c r="I3041" s="74" t="s">
        <v>376</v>
      </c>
    </row>
    <row r="3042" spans="1:9" ht="12.75">
      <c r="A3042" s="5"/>
      <c r="B3042" s="73" t="s">
        <v>301</v>
      </c>
      <c r="C3042" s="75">
        <f>(5/4)^2*E3042</f>
        <v>38.875</v>
      </c>
      <c r="D3042" s="74">
        <v>35.65</v>
      </c>
      <c r="E3042" s="74">
        <v>24.88</v>
      </c>
      <c r="F3042" s="76">
        <f>-((D3042-C3042)/D3042)</f>
        <v>0.09046283309957928</v>
      </c>
      <c r="G3042" s="75">
        <f>C3042-D3042</f>
        <v>3.2250000000000014</v>
      </c>
      <c r="H3042" s="74">
        <v>610</v>
      </c>
      <c r="I3042" s="74" t="s">
        <v>376</v>
      </c>
    </row>
    <row r="3043" spans="1:9" ht="12.75">
      <c r="A3043" s="5"/>
      <c r="B3043" s="73" t="s">
        <v>283</v>
      </c>
      <c r="C3043" s="75">
        <f>(5/4)^2*E3043</f>
        <v>67.046875</v>
      </c>
      <c r="D3043" s="74">
        <v>64.23</v>
      </c>
      <c r="E3043" s="74">
        <v>42.91</v>
      </c>
      <c r="F3043" s="76">
        <f>-((D3043-C3043)/D3043)</f>
        <v>0.043856064144480705</v>
      </c>
      <c r="G3043" s="75">
        <f>C3043-D3043</f>
        <v>2.816874999999996</v>
      </c>
      <c r="H3043" s="74">
        <v>610</v>
      </c>
      <c r="I3043" s="74" t="s">
        <v>376</v>
      </c>
    </row>
    <row r="3044" spans="1:9" ht="12.75">
      <c r="A3044" s="5"/>
      <c r="B3044" s="73" t="s">
        <v>288</v>
      </c>
      <c r="C3044" s="75">
        <f>(5/4)^2*E3044</f>
        <v>50.28125</v>
      </c>
      <c r="D3044" s="74">
        <v>49.31</v>
      </c>
      <c r="E3044" s="74">
        <v>32.18</v>
      </c>
      <c r="F3044" s="76">
        <f>-((D3044-C3044)/D3044)</f>
        <v>0.019696816061650732</v>
      </c>
      <c r="G3044" s="75">
        <f>C3044-D3044</f>
        <v>0.9712499999999977</v>
      </c>
      <c r="H3044" s="74">
        <v>610</v>
      </c>
      <c r="I3044" s="74" t="s">
        <v>376</v>
      </c>
    </row>
    <row r="3045" spans="1:9" ht="12.75">
      <c r="A3045" s="5"/>
      <c r="B3045" s="73" t="s">
        <v>320</v>
      </c>
      <c r="C3045" s="75">
        <f>(5/4)^2*E3045</f>
        <v>64.734375</v>
      </c>
      <c r="D3045" s="74">
        <v>63.63</v>
      </c>
      <c r="E3045" s="74">
        <v>41.43</v>
      </c>
      <c r="F3045" s="76">
        <f>-((D3045-C3045)/D3045)</f>
        <v>0.017356199905704816</v>
      </c>
      <c r="G3045" s="75">
        <f>C3045-D3045</f>
        <v>1.1043749999999974</v>
      </c>
      <c r="H3045" s="74">
        <v>610</v>
      </c>
      <c r="I3045" s="74" t="s">
        <v>376</v>
      </c>
    </row>
    <row r="3046" spans="1:9" ht="12.75">
      <c r="A3046" s="5"/>
      <c r="B3046" s="73" t="s">
        <v>284</v>
      </c>
      <c r="C3046" s="75">
        <f>(5/4)^2*E3046</f>
        <v>63.578125</v>
      </c>
      <c r="D3046" s="74">
        <v>60.49</v>
      </c>
      <c r="E3046" s="74">
        <v>40.69</v>
      </c>
      <c r="F3046" s="76">
        <f>-((D3046-C3046)/D3046)</f>
        <v>0.05105182674822281</v>
      </c>
      <c r="G3046" s="75">
        <f>C3046-D3046</f>
        <v>3.088124999999998</v>
      </c>
      <c r="H3046" s="74">
        <v>610</v>
      </c>
      <c r="I3046" s="74" t="s">
        <v>376</v>
      </c>
    </row>
    <row r="3047" spans="1:9" ht="12.75">
      <c r="A3047" s="5"/>
      <c r="B3047" s="73" t="s">
        <v>286</v>
      </c>
      <c r="C3047" s="75">
        <f>(5/4)^2*E3047</f>
        <v>55.5625</v>
      </c>
      <c r="D3047" s="74">
        <v>53.65</v>
      </c>
      <c r="E3047" s="74">
        <v>35.56</v>
      </c>
      <c r="F3047" s="76">
        <f>-((D3047-C3047)/D3047)</f>
        <v>0.035647716682199466</v>
      </c>
      <c r="G3047" s="75">
        <f>C3047-D3047</f>
        <v>1.9125000000000014</v>
      </c>
      <c r="H3047" s="74">
        <v>610</v>
      </c>
      <c r="I3047" s="74" t="s">
        <v>376</v>
      </c>
    </row>
    <row r="3048" spans="1:9" ht="12.75">
      <c r="A3048" s="5"/>
      <c r="B3048" s="73" t="s">
        <v>289</v>
      </c>
      <c r="C3048" s="75">
        <f>(5/4)^2*E3048</f>
        <v>50.81250000000001</v>
      </c>
      <c r="D3048" s="74">
        <v>49.77</v>
      </c>
      <c r="E3048" s="74">
        <v>32.52</v>
      </c>
      <c r="F3048" s="76">
        <f>-((D3048-C3048)/D3048)</f>
        <v>0.020946353224834315</v>
      </c>
      <c r="G3048" s="75">
        <f>C3048-D3048</f>
        <v>1.042500000000004</v>
      </c>
      <c r="H3048" s="74">
        <v>610</v>
      </c>
      <c r="I3048" s="74" t="s">
        <v>376</v>
      </c>
    </row>
    <row r="3049" spans="1:9" ht="12.75">
      <c r="A3049" s="5"/>
      <c r="B3049" s="73" t="s">
        <v>308</v>
      </c>
      <c r="C3049" s="75">
        <f>(5/4)^2*E3049</f>
        <v>62.875</v>
      </c>
      <c r="D3049" s="74">
        <v>57.77</v>
      </c>
      <c r="E3049" s="74">
        <v>40.24</v>
      </c>
      <c r="F3049" s="76">
        <f>-((D3049-C3049)/D3049)</f>
        <v>0.08836766487796428</v>
      </c>
      <c r="G3049" s="75">
        <f>C3049-D3049</f>
        <v>5.104999999999997</v>
      </c>
      <c r="H3049" s="74">
        <v>610</v>
      </c>
      <c r="I3049" s="74" t="s">
        <v>376</v>
      </c>
    </row>
    <row r="3050" spans="1:9" ht="12.75">
      <c r="A3050" s="5"/>
      <c r="B3050" s="73" t="s">
        <v>287</v>
      </c>
      <c r="C3050" s="75">
        <f>(5/4)^2*E3050</f>
        <v>53.0625</v>
      </c>
      <c r="D3050" s="74">
        <v>53.41</v>
      </c>
      <c r="E3050" s="74">
        <v>33.96</v>
      </c>
      <c r="F3050" s="76">
        <f>-((D3050-C3050)/D3050)</f>
        <v>-0.006506272233664044</v>
      </c>
      <c r="G3050" s="75">
        <f>C3050-D3050</f>
        <v>-0.3474999999999966</v>
      </c>
      <c r="H3050" s="74">
        <v>610</v>
      </c>
      <c r="I3050" s="74" t="s">
        <v>376</v>
      </c>
    </row>
    <row r="3051" spans="1:9" ht="12.75">
      <c r="A3051" s="5"/>
      <c r="B3051" s="73" t="s">
        <v>242</v>
      </c>
      <c r="C3051" s="75">
        <f>(5/4)^2*E3051</f>
        <v>46.125</v>
      </c>
      <c r="D3051" s="74">
        <v>43.7</v>
      </c>
      <c r="E3051" s="74">
        <v>29.52</v>
      </c>
      <c r="F3051" s="76">
        <f>-((D3051-C3051)/D3051)</f>
        <v>0.055491990846681855</v>
      </c>
      <c r="G3051" s="75">
        <f>C3051-D3051</f>
        <v>2.424999999999997</v>
      </c>
      <c r="H3051" s="74">
        <v>610</v>
      </c>
      <c r="I3051" s="74" t="s">
        <v>376</v>
      </c>
    </row>
    <row r="3052" spans="1:9" ht="12.75">
      <c r="A3052" s="5"/>
      <c r="B3052" s="5"/>
      <c r="C3052" s="75"/>
      <c r="D3052" s="74"/>
      <c r="E3052" s="74" t="s">
        <v>14</v>
      </c>
      <c r="F3052" s="76">
        <f>AVERAGE(F3038:F3051)</f>
        <v>0.06138840540922476</v>
      </c>
      <c r="G3052" s="75">
        <f>AVERAGE(G3038:G3051)</f>
        <v>3.2034374999999997</v>
      </c>
      <c r="H3052" s="74"/>
      <c r="I3052" s="74"/>
    </row>
    <row r="3053" spans="1:9" ht="12.75">
      <c r="A3053" s="5"/>
      <c r="B3053" s="5"/>
      <c r="C3053" s="75"/>
      <c r="D3053" s="74"/>
      <c r="E3053" s="74"/>
      <c r="F3053" s="76"/>
      <c r="G3053" s="75"/>
      <c r="H3053" s="74"/>
      <c r="I3053" s="74"/>
    </row>
    <row r="3054" spans="1:9" ht="12.75">
      <c r="A3054" s="79" t="s">
        <v>0</v>
      </c>
      <c r="B3054" s="79" t="s">
        <v>1</v>
      </c>
      <c r="C3054" s="80" t="s">
        <v>281</v>
      </c>
      <c r="D3054" s="80" t="s">
        <v>218</v>
      </c>
      <c r="E3054" s="80" t="s">
        <v>73</v>
      </c>
      <c r="F3054" s="80" t="s">
        <v>5</v>
      </c>
      <c r="G3054" s="80" t="s">
        <v>6</v>
      </c>
      <c r="H3054" s="80" t="s">
        <v>7</v>
      </c>
      <c r="I3054" s="80" t="s">
        <v>8</v>
      </c>
    </row>
    <row r="3055" spans="1:9" ht="12.75">
      <c r="A3055" s="79" t="s">
        <v>375</v>
      </c>
      <c r="B3055" s="79" t="s">
        <v>299</v>
      </c>
      <c r="C3055" s="81">
        <f>(6/5)^1.83*E3055</f>
        <v>51.17927635128181</v>
      </c>
      <c r="D3055" s="80">
        <v>49.43</v>
      </c>
      <c r="E3055" s="80">
        <v>36.66</v>
      </c>
      <c r="F3055" s="82">
        <f>-((D3055-C3055)/D3055)</f>
        <v>0.035388961183123756</v>
      </c>
      <c r="G3055" s="81">
        <f>C3055-D3055</f>
        <v>1.7492763512818073</v>
      </c>
      <c r="H3055" s="80">
        <v>610</v>
      </c>
      <c r="I3055" s="80" t="s">
        <v>376</v>
      </c>
    </row>
    <row r="3056" spans="2:9" ht="12.75">
      <c r="B3056" s="79" t="s">
        <v>301</v>
      </c>
      <c r="C3056" s="81">
        <f>(6/5)^1.83*E3056</f>
        <v>49.76926355491534</v>
      </c>
      <c r="D3056" s="80">
        <v>48.75</v>
      </c>
      <c r="E3056" s="80">
        <v>35.65</v>
      </c>
      <c r="F3056" s="82">
        <f>-((D3056-C3056)/D3056)</f>
        <v>0.02090797035723776</v>
      </c>
      <c r="G3056" s="81">
        <f>C3056-D3056</f>
        <v>1.0192635549153408</v>
      </c>
      <c r="H3056" s="80">
        <v>610</v>
      </c>
      <c r="I3056" s="80" t="s">
        <v>376</v>
      </c>
    </row>
    <row r="3057" spans="2:9" ht="12.75">
      <c r="B3057" s="79" t="s">
        <v>91</v>
      </c>
      <c r="C3057" s="81">
        <f>(6/5)^1.83*E3057</f>
        <v>45.385659415716624</v>
      </c>
      <c r="D3057" s="80">
        <v>43.78</v>
      </c>
      <c r="E3057" s="80">
        <v>32.51</v>
      </c>
      <c r="F3057" s="82">
        <f>-((D3057-C3057)/D3057)</f>
        <v>0.0366756376362865</v>
      </c>
      <c r="G3057" s="81">
        <f>C3057-D3057</f>
        <v>1.605659415716623</v>
      </c>
      <c r="H3057" s="80">
        <v>610</v>
      </c>
      <c r="I3057" s="80" t="s">
        <v>376</v>
      </c>
    </row>
    <row r="3058" spans="2:9" ht="12.75">
      <c r="B3058" s="79" t="s">
        <v>92</v>
      </c>
      <c r="C3058" s="81">
        <f>(6/5)^1.83*E3058</f>
        <v>37.107069433089755</v>
      </c>
      <c r="D3058" s="80">
        <v>35.8</v>
      </c>
      <c r="E3058" s="80">
        <v>26.58</v>
      </c>
      <c r="F3058" s="82">
        <f>-((D3058-C3058)/D3058)</f>
        <v>0.036510319360049115</v>
      </c>
      <c r="G3058" s="81">
        <f>C3058-D3058</f>
        <v>1.307069433089758</v>
      </c>
      <c r="H3058" s="80">
        <v>610</v>
      </c>
      <c r="I3058" s="80" t="s">
        <v>376</v>
      </c>
    </row>
    <row r="3059" spans="2:9" ht="12.75">
      <c r="B3059" s="79" t="s">
        <v>289</v>
      </c>
      <c r="C3059" s="81">
        <f>(6/5)^1.83*E3059</f>
        <v>69.48152165857326</v>
      </c>
      <c r="D3059" s="80">
        <v>71.81</v>
      </c>
      <c r="E3059" s="80">
        <v>49.77</v>
      </c>
      <c r="F3059" s="82">
        <f>-((D3059-C3059)/D3059)</f>
        <v>-0.03242554437302249</v>
      </c>
      <c r="G3059" s="81">
        <f>C3059-D3059</f>
        <v>-2.328478341426745</v>
      </c>
      <c r="H3059" s="80">
        <v>610</v>
      </c>
      <c r="I3059" s="80" t="s">
        <v>376</v>
      </c>
    </row>
    <row r="3060" spans="2:9" ht="12.75">
      <c r="B3060" s="79" t="s">
        <v>242</v>
      </c>
      <c r="C3060" s="81">
        <f>(6/5)^1.83*E3060</f>
        <v>61.00748435763817</v>
      </c>
      <c r="D3060" s="80">
        <v>60.37</v>
      </c>
      <c r="E3060" s="80">
        <v>43.7</v>
      </c>
      <c r="F3060" s="82">
        <f>-((D3060-C3060)/D3060)</f>
        <v>0.01055962162726805</v>
      </c>
      <c r="G3060" s="81">
        <f>C3060-D3060</f>
        <v>0.6374843576381721</v>
      </c>
      <c r="H3060" s="80">
        <v>610</v>
      </c>
      <c r="I3060" s="80" t="s">
        <v>376</v>
      </c>
    </row>
    <row r="3061" spans="2:9" ht="12.75">
      <c r="B3061" s="79" t="s">
        <v>148</v>
      </c>
      <c r="C3061" s="81">
        <f>(6/5)^1.83*E3061</f>
        <v>49.336487350089996</v>
      </c>
      <c r="D3061" s="80">
        <v>51.08</v>
      </c>
      <c r="E3061" s="80">
        <v>35.34</v>
      </c>
      <c r="F3061" s="82">
        <f>-((D3061-C3061)/D3061)</f>
        <v>-0.03413298061687554</v>
      </c>
      <c r="G3061" s="81">
        <f>C3061-D3061</f>
        <v>-1.7435126499100022</v>
      </c>
      <c r="H3061" s="80">
        <v>610</v>
      </c>
      <c r="I3061" s="80" t="s">
        <v>376</v>
      </c>
    </row>
    <row r="3062" spans="2:9" ht="12.75">
      <c r="B3062" s="79" t="s">
        <v>243</v>
      </c>
      <c r="C3062" s="81">
        <f>(6/5)^1.83*E3062</f>
        <v>60.407181879977195</v>
      </c>
      <c r="D3062" s="80">
        <v>60</v>
      </c>
      <c r="E3062" s="80">
        <v>43.27</v>
      </c>
      <c r="F3062" s="82">
        <f>-((D3062-C3062)/D3062)</f>
        <v>0.0067863646662865785</v>
      </c>
      <c r="G3062" s="81">
        <f>C3062-D3062</f>
        <v>0.4071818799771947</v>
      </c>
      <c r="H3062" s="80">
        <v>610</v>
      </c>
      <c r="I3062" s="80" t="s">
        <v>376</v>
      </c>
    </row>
    <row r="3063" spans="2:9" ht="12.75">
      <c r="B3063" s="79" t="s">
        <v>244</v>
      </c>
      <c r="C3063" s="81">
        <f>(6/5)^1.83*E3063</f>
        <v>52.15651294282292</v>
      </c>
      <c r="D3063" s="80">
        <v>53.05</v>
      </c>
      <c r="E3063" s="80">
        <v>37.36</v>
      </c>
      <c r="F3063" s="82">
        <f>-((D3063-C3063)/D3063)</f>
        <v>-0.016842357345467972</v>
      </c>
      <c r="G3063" s="81">
        <f>C3063-D3063</f>
        <v>-0.8934870571770759</v>
      </c>
      <c r="H3063" s="80">
        <v>610</v>
      </c>
      <c r="I3063" s="80" t="s">
        <v>376</v>
      </c>
    </row>
    <row r="3064" spans="2:9" ht="12.75">
      <c r="B3064" s="79" t="s">
        <v>122</v>
      </c>
      <c r="C3064" s="81">
        <f>(6/5)^1.83*E3064</f>
        <v>47.99627716740504</v>
      </c>
      <c r="D3064" s="80">
        <v>49.24</v>
      </c>
      <c r="E3064" s="80">
        <v>34.38</v>
      </c>
      <c r="F3064" s="82">
        <f>-((D3064-C3064)/D3064)</f>
        <v>-0.025258384090068274</v>
      </c>
      <c r="G3064" s="81">
        <f>C3064-D3064</f>
        <v>-1.2437228325949619</v>
      </c>
      <c r="H3064" s="80">
        <v>610</v>
      </c>
      <c r="I3064" s="80" t="s">
        <v>376</v>
      </c>
    </row>
    <row r="3065" spans="2:9" ht="12.75">
      <c r="B3065" s="79" t="s">
        <v>97</v>
      </c>
      <c r="C3065" s="81">
        <f>(6/5)^1.83*E3065</f>
        <v>41.93741029985012</v>
      </c>
      <c r="D3065" s="80">
        <v>42.99</v>
      </c>
      <c r="E3065" s="80">
        <v>30.04</v>
      </c>
      <c r="F3065" s="82">
        <f>-((D3065-C3065)/D3065)</f>
        <v>-0.024484524311465004</v>
      </c>
      <c r="G3065" s="81">
        <f>C3065-D3065</f>
        <v>-1.0525897001498805</v>
      </c>
      <c r="H3065" s="80">
        <v>610</v>
      </c>
      <c r="I3065" s="80" t="s">
        <v>376</v>
      </c>
    </row>
    <row r="3066" spans="3:9" ht="12.75">
      <c r="C3066" s="81"/>
      <c r="D3066" s="80"/>
      <c r="E3066" s="80" t="s">
        <v>14</v>
      </c>
      <c r="F3066" s="82">
        <f>AVERAGE(F3055:F3065)</f>
        <v>0.0012440985539411344</v>
      </c>
      <c r="G3066" s="81">
        <f>AVERAGE(G3055:G3065)</f>
        <v>-0.04871414442179723</v>
      </c>
      <c r="H3066" s="80"/>
      <c r="I3066" s="80"/>
    </row>
    <row r="3067" spans="3:9" ht="12.75">
      <c r="C3067" s="81"/>
      <c r="D3067" s="80"/>
      <c r="E3067" s="80"/>
      <c r="F3067" s="82"/>
      <c r="G3067" s="81"/>
      <c r="H3067" s="80"/>
      <c r="I3067" s="80"/>
    </row>
    <row r="3068" spans="1:9" ht="12.75">
      <c r="A3068" s="83" t="s">
        <v>0</v>
      </c>
      <c r="B3068" s="83" t="s">
        <v>1</v>
      </c>
      <c r="C3068" s="84" t="s">
        <v>247</v>
      </c>
      <c r="D3068" s="84" t="s">
        <v>218</v>
      </c>
      <c r="E3068" s="84" t="s">
        <v>73</v>
      </c>
      <c r="F3068" s="84" t="s">
        <v>5</v>
      </c>
      <c r="G3068" s="84" t="s">
        <v>6</v>
      </c>
      <c r="H3068" s="84" t="s">
        <v>7</v>
      </c>
      <c r="I3068" s="84" t="s">
        <v>8</v>
      </c>
    </row>
    <row r="3069" spans="1:9" ht="12.75">
      <c r="A3069" s="83" t="s">
        <v>375</v>
      </c>
      <c r="B3069" s="83" t="s">
        <v>299</v>
      </c>
      <c r="C3069" s="85">
        <f>(6/5)^2*E3069</f>
        <v>52.79039999999999</v>
      </c>
      <c r="D3069" s="84">
        <v>49.43</v>
      </c>
      <c r="E3069" s="84">
        <v>36.66</v>
      </c>
      <c r="F3069" s="86">
        <f>-((D3069-C3069)/D3069)</f>
        <v>0.06798300627149487</v>
      </c>
      <c r="G3069" s="85">
        <f>C3069-D3069</f>
        <v>3.3603999999999914</v>
      </c>
      <c r="H3069" s="84">
        <v>610</v>
      </c>
      <c r="I3069" s="84" t="s">
        <v>376</v>
      </c>
    </row>
    <row r="3070" spans="1:9" ht="12.75">
      <c r="A3070" s="5"/>
      <c r="B3070" s="83" t="s">
        <v>301</v>
      </c>
      <c r="C3070" s="85">
        <f>(6/5)^2*E3070</f>
        <v>51.336</v>
      </c>
      <c r="D3070" s="84">
        <v>48.75</v>
      </c>
      <c r="E3070" s="84">
        <v>35.65</v>
      </c>
      <c r="F3070" s="86">
        <f>-((D3070-C3070)/D3070)</f>
        <v>0.05304615384615382</v>
      </c>
      <c r="G3070" s="85">
        <f>C3070-D3070</f>
        <v>2.5859999999999985</v>
      </c>
      <c r="H3070" s="84">
        <v>610</v>
      </c>
      <c r="I3070" s="84" t="s">
        <v>376</v>
      </c>
    </row>
    <row r="3071" spans="1:9" ht="12.75">
      <c r="A3071" s="5"/>
      <c r="B3071" s="83" t="s">
        <v>91</v>
      </c>
      <c r="C3071" s="85">
        <f>(6/5)^2*E3071</f>
        <v>46.81439999999999</v>
      </c>
      <c r="D3071" s="84">
        <v>43.78</v>
      </c>
      <c r="E3071" s="84">
        <v>32.51</v>
      </c>
      <c r="F3071" s="86">
        <f>-((D3071-C3071)/D3071)</f>
        <v>0.06931018730013684</v>
      </c>
      <c r="G3071" s="85">
        <f>C3071-D3071</f>
        <v>3.034399999999991</v>
      </c>
      <c r="H3071" s="84">
        <v>610</v>
      </c>
      <c r="I3071" s="84" t="s">
        <v>376</v>
      </c>
    </row>
    <row r="3072" spans="1:9" ht="12.75">
      <c r="A3072" s="5"/>
      <c r="B3072" s="83" t="s">
        <v>92</v>
      </c>
      <c r="C3072" s="85">
        <f>(6/5)^2*E3072</f>
        <v>38.2752</v>
      </c>
      <c r="D3072" s="84">
        <v>35.8</v>
      </c>
      <c r="E3072" s="84">
        <v>26.58</v>
      </c>
      <c r="F3072" s="86">
        <f>-((D3072-C3072)/D3072)</f>
        <v>0.0691396648044693</v>
      </c>
      <c r="G3072" s="85">
        <f>C3072-D3072</f>
        <v>2.475200000000001</v>
      </c>
      <c r="H3072" s="84">
        <v>610</v>
      </c>
      <c r="I3072" s="84" t="s">
        <v>376</v>
      </c>
    </row>
    <row r="3073" spans="1:9" ht="12.75">
      <c r="A3073" s="5"/>
      <c r="B3073" s="83" t="s">
        <v>289</v>
      </c>
      <c r="C3073" s="85">
        <f>(6/5)^2*E3073</f>
        <v>71.6688</v>
      </c>
      <c r="D3073" s="84">
        <v>71.81</v>
      </c>
      <c r="E3073" s="84">
        <v>49.77</v>
      </c>
      <c r="F3073" s="86">
        <f>-((D3073-C3073)/D3073)</f>
        <v>-0.0019662999582230577</v>
      </c>
      <c r="G3073" s="85">
        <f>C3073-D3073</f>
        <v>-0.14119999999999777</v>
      </c>
      <c r="H3073" s="84">
        <v>610</v>
      </c>
      <c r="I3073" s="84" t="s">
        <v>376</v>
      </c>
    </row>
    <row r="3074" spans="1:9" ht="12.75">
      <c r="A3074" s="5"/>
      <c r="B3074" s="83" t="s">
        <v>242</v>
      </c>
      <c r="C3074" s="85">
        <f>(6/5)^2*E3074</f>
        <v>62.928000000000004</v>
      </c>
      <c r="D3074" s="84">
        <v>60.37</v>
      </c>
      <c r="E3074" s="84">
        <v>43.7</v>
      </c>
      <c r="F3074" s="86">
        <f>-((D3074-C3074)/D3074)</f>
        <v>0.04237203909226449</v>
      </c>
      <c r="G3074" s="85">
        <f>C3074-D3074</f>
        <v>2.558000000000007</v>
      </c>
      <c r="H3074" s="84">
        <v>610</v>
      </c>
      <c r="I3074" s="84" t="s">
        <v>376</v>
      </c>
    </row>
    <row r="3075" spans="1:9" ht="12.75">
      <c r="A3075" s="5"/>
      <c r="B3075" s="83" t="s">
        <v>148</v>
      </c>
      <c r="C3075" s="85">
        <f>(6/5)^2*E3075</f>
        <v>50.8896</v>
      </c>
      <c r="D3075" s="84">
        <v>51.08</v>
      </c>
      <c r="E3075" s="84">
        <v>35.34</v>
      </c>
      <c r="F3075" s="86">
        <f>-((D3075-C3075)/D3075)</f>
        <v>-0.003727486296006202</v>
      </c>
      <c r="G3075" s="85">
        <f>C3075-D3075</f>
        <v>-0.1903999999999968</v>
      </c>
      <c r="H3075" s="84">
        <v>610</v>
      </c>
      <c r="I3075" s="84" t="s">
        <v>376</v>
      </c>
    </row>
    <row r="3076" spans="1:9" ht="12.75">
      <c r="A3076" s="5"/>
      <c r="B3076" s="83" t="s">
        <v>243</v>
      </c>
      <c r="C3076" s="85">
        <f>(6/5)^2*E3076</f>
        <v>62.308800000000005</v>
      </c>
      <c r="D3076" s="84">
        <v>60</v>
      </c>
      <c r="E3076" s="84">
        <v>43.27</v>
      </c>
      <c r="F3076" s="86">
        <f>-((D3076-C3076)/D3076)</f>
        <v>0.038480000000000084</v>
      </c>
      <c r="G3076" s="85">
        <f>C3076-D3076</f>
        <v>2.308800000000005</v>
      </c>
      <c r="H3076" s="84">
        <v>610</v>
      </c>
      <c r="I3076" s="84" t="s">
        <v>376</v>
      </c>
    </row>
    <row r="3077" spans="1:9" ht="12.75">
      <c r="A3077" s="5"/>
      <c r="B3077" s="83" t="s">
        <v>244</v>
      </c>
      <c r="C3077" s="85">
        <f>(6/5)^2*E3077</f>
        <v>53.798399999999994</v>
      </c>
      <c r="D3077" s="84">
        <v>53.05</v>
      </c>
      <c r="E3077" s="84">
        <v>37.36</v>
      </c>
      <c r="F3077" s="86">
        <f>-((D3077-C3077)/D3077)</f>
        <v>0.01410744580584348</v>
      </c>
      <c r="G3077" s="85">
        <f>C3077-D3077</f>
        <v>0.7483999999999966</v>
      </c>
      <c r="H3077" s="84">
        <v>610</v>
      </c>
      <c r="I3077" s="84" t="s">
        <v>376</v>
      </c>
    </row>
    <row r="3078" spans="1:9" ht="12.75">
      <c r="A3078" s="5"/>
      <c r="B3078" s="83" t="s">
        <v>122</v>
      </c>
      <c r="C3078" s="85">
        <f>(6/5)^2*E3078</f>
        <v>49.507200000000005</v>
      </c>
      <c r="D3078" s="84">
        <v>49.24</v>
      </c>
      <c r="E3078" s="84">
        <v>34.38</v>
      </c>
      <c r="F3078" s="86">
        <f>-((D3078-C3078)/D3078)</f>
        <v>0.005426482534524828</v>
      </c>
      <c r="G3078" s="85">
        <f>C3078-D3078</f>
        <v>0.26720000000000255</v>
      </c>
      <c r="H3078" s="84">
        <v>610</v>
      </c>
      <c r="I3078" s="84" t="s">
        <v>376</v>
      </c>
    </row>
    <row r="3079" spans="1:9" ht="12.75">
      <c r="A3079" s="5"/>
      <c r="B3079" s="83" t="s">
        <v>97</v>
      </c>
      <c r="C3079" s="85">
        <f>(6/5)^2*E3079</f>
        <v>43.2576</v>
      </c>
      <c r="D3079" s="84">
        <v>42.99</v>
      </c>
      <c r="E3079" s="84">
        <v>30.04</v>
      </c>
      <c r="F3079" s="86">
        <f>-((D3079-C3079)/D3079)</f>
        <v>0.006224703419399733</v>
      </c>
      <c r="G3079" s="85">
        <f>C3079-D3079</f>
        <v>0.2675999999999945</v>
      </c>
      <c r="H3079" s="84">
        <v>610</v>
      </c>
      <c r="I3079" s="84" t="s">
        <v>376</v>
      </c>
    </row>
    <row r="3080" spans="1:9" ht="12.75">
      <c r="A3080" s="5"/>
      <c r="B3080" s="5"/>
      <c r="C3080" s="85"/>
      <c r="D3080" s="84"/>
      <c r="E3080" s="84" t="s">
        <v>14</v>
      </c>
      <c r="F3080" s="86">
        <f>AVERAGE(F3069:F3079)</f>
        <v>0.03276326334727802</v>
      </c>
      <c r="G3080" s="85">
        <f>AVERAGE(G3069:G3079)</f>
        <v>1.5703999999999994</v>
      </c>
      <c r="H3080" s="84"/>
      <c r="I3080" s="84"/>
    </row>
    <row r="3081" spans="1:9" ht="12.75">
      <c r="A3081" s="5"/>
      <c r="B3081" s="83"/>
      <c r="C3081" s="85"/>
      <c r="D3081" s="84"/>
      <c r="E3081" s="84"/>
      <c r="F3081" s="86"/>
      <c r="G3081" s="85"/>
      <c r="H3081" s="84"/>
      <c r="I3081" s="84"/>
    </row>
    <row r="3082" spans="1:9" ht="12.75">
      <c r="A3082" s="69" t="s">
        <v>0</v>
      </c>
      <c r="B3082" s="69" t="s">
        <v>1</v>
      </c>
      <c r="C3082" s="70" t="s">
        <v>280</v>
      </c>
      <c r="D3082" s="70" t="s">
        <v>218</v>
      </c>
      <c r="E3082" s="70" t="s">
        <v>73</v>
      </c>
      <c r="F3082" s="70" t="s">
        <v>5</v>
      </c>
      <c r="G3082" s="70" t="s">
        <v>6</v>
      </c>
      <c r="H3082" s="70" t="s">
        <v>7</v>
      </c>
      <c r="I3082" s="70" t="s">
        <v>8</v>
      </c>
    </row>
    <row r="3083" spans="1:9" ht="12.75">
      <c r="A3083" s="69" t="s">
        <v>377</v>
      </c>
      <c r="B3083" s="69" t="s">
        <v>341</v>
      </c>
      <c r="C3083" s="71">
        <f>(5/4)^1.68*E3083</f>
        <v>61.42243803024286</v>
      </c>
      <c r="D3083" s="70">
        <v>58.72</v>
      </c>
      <c r="E3083" s="70">
        <v>42.22</v>
      </c>
      <c r="F3083" s="72">
        <f>-((D3083-C3083)/D3083)</f>
        <v>0.04602244601912227</v>
      </c>
      <c r="G3083" s="71">
        <f>C3083-D3083</f>
        <v>2.7024380302428597</v>
      </c>
      <c r="H3083" s="70">
        <v>540</v>
      </c>
      <c r="I3083" s="70" t="s">
        <v>376</v>
      </c>
    </row>
    <row r="3084" spans="2:9" ht="12.75">
      <c r="B3084" s="69" t="s">
        <v>334</v>
      </c>
      <c r="C3084" s="71">
        <f>(5/4)^1.68*E3084</f>
        <v>59.3274993574918</v>
      </c>
      <c r="D3084" s="70">
        <v>56.75</v>
      </c>
      <c r="E3084" s="70">
        <v>40.78</v>
      </c>
      <c r="F3084" s="72">
        <f>-((D3084-C3084)/D3084)</f>
        <v>0.04541849088091283</v>
      </c>
      <c r="G3084" s="71">
        <f>C3084-D3084</f>
        <v>2.577499357491803</v>
      </c>
      <c r="H3084" s="70">
        <v>540</v>
      </c>
      <c r="I3084" s="70" t="s">
        <v>376</v>
      </c>
    </row>
    <row r="3085" spans="2:9" ht="12.75">
      <c r="B3085" s="69" t="s">
        <v>316</v>
      </c>
      <c r="C3085" s="71">
        <f>(5/4)^1.68*E3085</f>
        <v>49.78388984829253</v>
      </c>
      <c r="D3085" s="70">
        <v>48.12</v>
      </c>
      <c r="E3085" s="70">
        <v>34.22</v>
      </c>
      <c r="F3085" s="72">
        <f>-((D3085-C3085)/D3085)</f>
        <v>0.034577927021873116</v>
      </c>
      <c r="G3085" s="71">
        <f>C3085-D3085</f>
        <v>1.6638898482925342</v>
      </c>
      <c r="H3085" s="70">
        <v>540</v>
      </c>
      <c r="I3085" s="70" t="s">
        <v>376</v>
      </c>
    </row>
    <row r="3086" spans="2:9" ht="12.75">
      <c r="B3086" s="69" t="s">
        <v>312</v>
      </c>
      <c r="C3086" s="71">
        <f>(5/4)^1.68*E3086</f>
        <v>42.42250812320895</v>
      </c>
      <c r="D3086" s="70">
        <v>41.33</v>
      </c>
      <c r="E3086" s="70">
        <v>29.16</v>
      </c>
      <c r="F3086" s="72">
        <f>-((D3086-C3086)/D3086)</f>
        <v>0.026433779898595477</v>
      </c>
      <c r="G3086" s="71">
        <f>C3086-D3086</f>
        <v>1.092508123208951</v>
      </c>
      <c r="H3086" s="70">
        <v>540</v>
      </c>
      <c r="I3086" s="70" t="s">
        <v>376</v>
      </c>
    </row>
    <row r="3087" spans="2:9" ht="12.75">
      <c r="B3087" s="69" t="s">
        <v>300</v>
      </c>
      <c r="C3087" s="71">
        <f>(5/4)^1.68*E3087</f>
        <v>38.31991988907146</v>
      </c>
      <c r="D3087" s="70">
        <v>37.46</v>
      </c>
      <c r="E3087" s="70">
        <v>26.34</v>
      </c>
      <c r="F3087" s="72">
        <f>-((D3087-C3087)/D3087)</f>
        <v>0.02295568310388297</v>
      </c>
      <c r="G3087" s="71">
        <f>C3087-D3087</f>
        <v>0.8599198890714561</v>
      </c>
      <c r="H3087" s="70">
        <v>540</v>
      </c>
      <c r="I3087" s="70" t="s">
        <v>376</v>
      </c>
    </row>
    <row r="3088" spans="2:9" ht="12.75">
      <c r="B3088" s="69" t="s">
        <v>317</v>
      </c>
      <c r="C3088" s="71">
        <f>(5/4)^1.68*E3088</f>
        <v>46.94699372894214</v>
      </c>
      <c r="D3088" s="70">
        <v>47.19</v>
      </c>
      <c r="E3088" s="70">
        <v>32.27</v>
      </c>
      <c r="F3088" s="72">
        <f>-((D3088-C3088)/D3088)</f>
        <v>-0.005149528948036834</v>
      </c>
      <c r="G3088" s="71">
        <f>C3088-D3088</f>
        <v>-0.24300627105785821</v>
      </c>
      <c r="H3088" s="70">
        <v>540</v>
      </c>
      <c r="I3088" s="70" t="s">
        <v>376</v>
      </c>
    </row>
    <row r="3089" spans="2:9" ht="12.75">
      <c r="B3089" s="69" t="s">
        <v>283</v>
      </c>
      <c r="C3089" s="71">
        <f>(5/4)^1.68*E3089</f>
        <v>44.16829035050149</v>
      </c>
      <c r="D3089" s="70">
        <v>45.33</v>
      </c>
      <c r="E3089" s="70">
        <v>30.36</v>
      </c>
      <c r="F3089" s="72">
        <f>-((D3089-C3089)/D3089)</f>
        <v>-0.025627832550154533</v>
      </c>
      <c r="G3089" s="71">
        <f>C3089-D3089</f>
        <v>-1.1617096494985049</v>
      </c>
      <c r="H3089" s="70">
        <v>540</v>
      </c>
      <c r="I3089" s="70" t="s">
        <v>376</v>
      </c>
    </row>
    <row r="3090" spans="2:9" ht="12.75">
      <c r="B3090" s="69" t="s">
        <v>318</v>
      </c>
      <c r="C3090" s="71">
        <f>(5/4)^1.68*E3090</f>
        <v>65.29225530074135</v>
      </c>
      <c r="D3090" s="70">
        <v>64.32</v>
      </c>
      <c r="E3090" s="70">
        <v>44.88</v>
      </c>
      <c r="F3090" s="72">
        <f>-((D3090-C3090)/D3090)</f>
        <v>0.015115909526451376</v>
      </c>
      <c r="G3090" s="71">
        <f>C3090-D3090</f>
        <v>0.9722553007413524</v>
      </c>
      <c r="H3090" s="70">
        <v>540</v>
      </c>
      <c r="I3090" s="70" t="s">
        <v>376</v>
      </c>
    </row>
    <row r="3091" spans="2:9" ht="12.75">
      <c r="B3091" s="69" t="s">
        <v>319</v>
      </c>
      <c r="C3091" s="71">
        <f>(5/4)^1.68*E3091</f>
        <v>44.16829035050149</v>
      </c>
      <c r="D3091" s="70">
        <v>44.84</v>
      </c>
      <c r="E3091" s="70">
        <v>30.36</v>
      </c>
      <c r="F3091" s="72">
        <f>-((D3091-C3091)/D3091)</f>
        <v>-0.014980143833597456</v>
      </c>
      <c r="G3091" s="71">
        <f>C3091-D3091</f>
        <v>-0.67170964949851</v>
      </c>
      <c r="H3091" s="70">
        <v>540</v>
      </c>
      <c r="I3091" s="70" t="s">
        <v>376</v>
      </c>
    </row>
    <row r="3092" spans="2:9" ht="12.75">
      <c r="B3092" s="69" t="s">
        <v>320</v>
      </c>
      <c r="C3092" s="71">
        <f>(5/4)^1.68*E3092</f>
        <v>44.793862315281324</v>
      </c>
      <c r="D3092" s="70">
        <v>44.81</v>
      </c>
      <c r="E3092" s="70">
        <v>30.79</v>
      </c>
      <c r="F3092" s="72">
        <f>-((D3092-C3092)/D3092)</f>
        <v>-0.0003601357893032518</v>
      </c>
      <c r="G3092" s="71">
        <f>C3092-D3092</f>
        <v>-0.016137684718678713</v>
      </c>
      <c r="H3092" s="70">
        <v>540</v>
      </c>
      <c r="I3092" s="70" t="s">
        <v>376</v>
      </c>
    </row>
    <row r="3093" spans="2:9" ht="12.75">
      <c r="B3093" s="69" t="s">
        <v>284</v>
      </c>
      <c r="C3093" s="71">
        <f>(5/4)^1.68*E3093</f>
        <v>41.66600249138218</v>
      </c>
      <c r="D3093" s="70">
        <v>43.62</v>
      </c>
      <c r="E3093" s="70">
        <v>28.64</v>
      </c>
      <c r="F3093" s="72">
        <f>-((D3093-C3093)/D3093)</f>
        <v>-0.044795908038005906</v>
      </c>
      <c r="G3093" s="71">
        <f>C3093-D3093</f>
        <v>-1.9539975086178174</v>
      </c>
      <c r="H3093" s="70">
        <v>540</v>
      </c>
      <c r="I3093" s="70" t="s">
        <v>376</v>
      </c>
    </row>
    <row r="3094" spans="2:9" ht="12.75">
      <c r="B3094" s="69" t="s">
        <v>285</v>
      </c>
      <c r="C3094" s="71">
        <f>(5/4)^1.68*E3094</f>
        <v>49.201962439195015</v>
      </c>
      <c r="D3094" s="70">
        <v>50.23</v>
      </c>
      <c r="E3094" s="70">
        <v>33.82</v>
      </c>
      <c r="F3094" s="72">
        <f>-((D3094-C3094)/D3094)</f>
        <v>-0.020466604833863873</v>
      </c>
      <c r="G3094" s="71">
        <f>C3094-D3094</f>
        <v>-1.0280375608049823</v>
      </c>
      <c r="H3094" s="70">
        <v>540</v>
      </c>
      <c r="I3094" s="70" t="s">
        <v>376</v>
      </c>
    </row>
    <row r="3095" spans="2:9" ht="12.75">
      <c r="B3095" s="69" t="s">
        <v>286</v>
      </c>
      <c r="C3095" s="71">
        <f>(5/4)^1.68*E3095</f>
        <v>35.27934917653693</v>
      </c>
      <c r="D3095" s="70">
        <v>37.61</v>
      </c>
      <c r="E3095" s="70">
        <v>24.25</v>
      </c>
      <c r="F3095" s="72">
        <f>-((D3095-C3095)/D3095)</f>
        <v>-0.06196891314711691</v>
      </c>
      <c r="G3095" s="71">
        <f>C3095-D3095</f>
        <v>-2.330650823463067</v>
      </c>
      <c r="H3095" s="70">
        <v>540</v>
      </c>
      <c r="I3095" s="70" t="s">
        <v>376</v>
      </c>
    </row>
    <row r="3096" spans="1:9" ht="12.75">
      <c r="A3096" s="5"/>
      <c r="B3096" s="69" t="s">
        <v>308</v>
      </c>
      <c r="C3096" s="71">
        <f>(5/4)^1.68*E3096</f>
        <v>42.989887347079026</v>
      </c>
      <c r="D3096" s="70">
        <v>41.78</v>
      </c>
      <c r="E3096" s="70">
        <v>29.55</v>
      </c>
      <c r="F3096" s="72">
        <f>-((D3096-C3096)/D3096)</f>
        <v>0.028958529130661208</v>
      </c>
      <c r="G3096" s="71">
        <f>C3096-D3096</f>
        <v>1.2098873470790252</v>
      </c>
      <c r="H3096" s="70">
        <v>540</v>
      </c>
      <c r="I3096" s="70" t="s">
        <v>376</v>
      </c>
    </row>
    <row r="3097" spans="1:9" ht="12.75">
      <c r="A3097" s="5"/>
      <c r="B3097" s="69" t="s">
        <v>287</v>
      </c>
      <c r="C3097" s="71">
        <f>(5/4)^1.68*E3097</f>
        <v>36.02130662313627</v>
      </c>
      <c r="D3097" s="70">
        <v>37.64</v>
      </c>
      <c r="E3097" s="70">
        <v>24.76</v>
      </c>
      <c r="F3097" s="72">
        <f>-((D3097-C3097)/D3097)</f>
        <v>-0.04300460618660286</v>
      </c>
      <c r="G3097" s="71">
        <f>C3097-D3097</f>
        <v>-1.6186933768637317</v>
      </c>
      <c r="H3097" s="70">
        <v>540</v>
      </c>
      <c r="I3097" s="70" t="s">
        <v>376</v>
      </c>
    </row>
    <row r="3098" spans="1:9" ht="12.75">
      <c r="A3098" s="5"/>
      <c r="B3098" s="83"/>
      <c r="C3098" s="85"/>
      <c r="D3098" s="84"/>
      <c r="E3098" s="70" t="s">
        <v>14</v>
      </c>
      <c r="F3098" s="72">
        <f>AVERAGE(F3083:F3097)</f>
        <v>0.00020860615032117596</v>
      </c>
      <c r="G3098" s="71">
        <f>AVERAGE(G3083:G3097)</f>
        <v>0.13696369144032208</v>
      </c>
      <c r="H3098" s="84"/>
      <c r="I3098" s="84"/>
    </row>
    <row r="3099" spans="1:9" ht="12.75">
      <c r="A3099" s="5"/>
      <c r="B3099" s="83"/>
      <c r="C3099" s="85"/>
      <c r="D3099" s="84"/>
      <c r="E3099" s="70"/>
      <c r="F3099" s="72"/>
      <c r="G3099" s="71"/>
      <c r="H3099" s="84"/>
      <c r="I3099" s="84"/>
    </row>
    <row r="3100" spans="1:9" ht="12.75">
      <c r="A3100" s="73" t="s">
        <v>0</v>
      </c>
      <c r="B3100" s="73" t="s">
        <v>1</v>
      </c>
      <c r="C3100" s="74" t="s">
        <v>219</v>
      </c>
      <c r="D3100" s="74" t="s">
        <v>218</v>
      </c>
      <c r="E3100" s="74" t="s">
        <v>73</v>
      </c>
      <c r="F3100" s="74" t="s">
        <v>5</v>
      </c>
      <c r="G3100" s="74" t="s">
        <v>6</v>
      </c>
      <c r="H3100" s="74" t="s">
        <v>7</v>
      </c>
      <c r="I3100" s="74" t="s">
        <v>8</v>
      </c>
    </row>
    <row r="3101" spans="1:9" ht="12.75">
      <c r="A3101" s="73" t="s">
        <v>377</v>
      </c>
      <c r="B3101" s="73" t="s">
        <v>341</v>
      </c>
      <c r="C3101" s="75">
        <f>(5/4)^2*E3101</f>
        <v>65.96875</v>
      </c>
      <c r="D3101" s="74">
        <v>58.72</v>
      </c>
      <c r="E3101" s="74">
        <v>42.22</v>
      </c>
      <c r="F3101" s="76">
        <f>-((D3101-C3101)/D3101)</f>
        <v>0.12344601498637604</v>
      </c>
      <c r="G3101" s="75">
        <f>C3101-D3101</f>
        <v>7.248750000000001</v>
      </c>
      <c r="H3101" s="74">
        <v>540</v>
      </c>
      <c r="I3101" s="74" t="s">
        <v>376</v>
      </c>
    </row>
    <row r="3102" spans="1:9" ht="12.75">
      <c r="A3102" s="5"/>
      <c r="B3102" s="73" t="s">
        <v>334</v>
      </c>
      <c r="C3102" s="75">
        <f>(5/4)^2*E3102</f>
        <v>63.71875</v>
      </c>
      <c r="D3102" s="74">
        <v>56.75</v>
      </c>
      <c r="E3102" s="74">
        <v>40.78</v>
      </c>
      <c r="F3102" s="76">
        <f>-((D3102-C3102)/D3102)</f>
        <v>0.12279735682819383</v>
      </c>
      <c r="G3102" s="75">
        <f>C3102-D3102</f>
        <v>6.96875</v>
      </c>
      <c r="H3102" s="74">
        <v>540</v>
      </c>
      <c r="I3102" s="74" t="s">
        <v>376</v>
      </c>
    </row>
    <row r="3103" spans="1:9" ht="12.75">
      <c r="A3103" s="5"/>
      <c r="B3103" s="73" t="s">
        <v>316</v>
      </c>
      <c r="C3103" s="75">
        <f>(5/4)^2*E3103</f>
        <v>53.46875</v>
      </c>
      <c r="D3103" s="74">
        <v>48.12</v>
      </c>
      <c r="E3103" s="74">
        <v>34.22</v>
      </c>
      <c r="F3103" s="76">
        <f>-((D3103-C3103)/D3103)</f>
        <v>0.11115440565253538</v>
      </c>
      <c r="G3103" s="75">
        <f>C3103-D3103</f>
        <v>5.348750000000003</v>
      </c>
      <c r="H3103" s="74">
        <v>540</v>
      </c>
      <c r="I3103" s="74" t="s">
        <v>376</v>
      </c>
    </row>
    <row r="3104" spans="1:9" ht="12.75">
      <c r="A3104" s="5"/>
      <c r="B3104" s="73" t="s">
        <v>312</v>
      </c>
      <c r="C3104" s="75">
        <f>(5/4)^2*E3104</f>
        <v>45.5625</v>
      </c>
      <c r="D3104" s="74">
        <v>41.33</v>
      </c>
      <c r="E3104" s="74">
        <v>29.16</v>
      </c>
      <c r="F3104" s="76">
        <f>-((D3104-C3104)/D3104)</f>
        <v>0.10240745221388826</v>
      </c>
      <c r="G3104" s="75">
        <f>C3104-D3104</f>
        <v>4.232500000000002</v>
      </c>
      <c r="H3104" s="74">
        <v>540</v>
      </c>
      <c r="I3104" s="74" t="s">
        <v>376</v>
      </c>
    </row>
    <row r="3105" spans="1:9" ht="12.75">
      <c r="A3105" s="5"/>
      <c r="B3105" s="73" t="s">
        <v>300</v>
      </c>
      <c r="C3105" s="75">
        <f>(5/4)^2*E3105</f>
        <v>41.15625</v>
      </c>
      <c r="D3105" s="74">
        <v>37.46</v>
      </c>
      <c r="E3105" s="74">
        <v>26.34</v>
      </c>
      <c r="F3105" s="76">
        <f>-((D3105-C3105)/D3105)</f>
        <v>0.09867191671115855</v>
      </c>
      <c r="G3105" s="75">
        <f>C3105-D3105</f>
        <v>3.696249999999999</v>
      </c>
      <c r="H3105" s="74">
        <v>540</v>
      </c>
      <c r="I3105" s="74" t="s">
        <v>376</v>
      </c>
    </row>
    <row r="3106" spans="1:9" ht="12.75">
      <c r="A3106" s="5"/>
      <c r="B3106" s="73" t="s">
        <v>317</v>
      </c>
      <c r="C3106" s="75">
        <f>(5/4)^2*E3106</f>
        <v>50.42187500000001</v>
      </c>
      <c r="D3106" s="74">
        <v>47.19</v>
      </c>
      <c r="E3106" s="74">
        <v>32.27</v>
      </c>
      <c r="F3106" s="76">
        <f>-((D3106-C3106)/D3106)</f>
        <v>0.06848643780461983</v>
      </c>
      <c r="G3106" s="75">
        <f>C3106-D3106</f>
        <v>3.2318750000000094</v>
      </c>
      <c r="H3106" s="74">
        <v>540</v>
      </c>
      <c r="I3106" s="74" t="s">
        <v>376</v>
      </c>
    </row>
    <row r="3107" spans="1:9" ht="12.75">
      <c r="A3107" s="5"/>
      <c r="B3107" s="73" t="s">
        <v>283</v>
      </c>
      <c r="C3107" s="75">
        <f>(5/4)^2*E3107</f>
        <v>47.4375</v>
      </c>
      <c r="D3107" s="74">
        <v>45.33</v>
      </c>
      <c r="E3107" s="74">
        <v>30.36</v>
      </c>
      <c r="F3107" s="76">
        <f>-((D3107-C3107)/D3107)</f>
        <v>0.0464923891462608</v>
      </c>
      <c r="G3107" s="75">
        <f>C3107-D3107</f>
        <v>2.1075000000000017</v>
      </c>
      <c r="H3107" s="74">
        <v>540</v>
      </c>
      <c r="I3107" s="74" t="s">
        <v>376</v>
      </c>
    </row>
    <row r="3108" spans="1:9" ht="12.75">
      <c r="A3108" s="5"/>
      <c r="B3108" s="73" t="s">
        <v>318</v>
      </c>
      <c r="C3108" s="75">
        <f>(5/4)^2*E3108</f>
        <v>70.125</v>
      </c>
      <c r="D3108" s="74">
        <v>64.32</v>
      </c>
      <c r="E3108" s="74">
        <v>44.88</v>
      </c>
      <c r="F3108" s="76">
        <f>-((D3108-C3108)/D3108)</f>
        <v>0.09025186567164191</v>
      </c>
      <c r="G3108" s="75">
        <f>C3108-D3108</f>
        <v>5.805000000000007</v>
      </c>
      <c r="H3108" s="74">
        <v>540</v>
      </c>
      <c r="I3108" s="74" t="s">
        <v>376</v>
      </c>
    </row>
    <row r="3109" spans="1:9" ht="12.75">
      <c r="A3109" s="5"/>
      <c r="B3109" s="73" t="s">
        <v>319</v>
      </c>
      <c r="C3109" s="75">
        <f>(5/4)^2*E3109</f>
        <v>47.4375</v>
      </c>
      <c r="D3109" s="74">
        <v>44.84</v>
      </c>
      <c r="E3109" s="74">
        <v>30.36</v>
      </c>
      <c r="F3109" s="76">
        <f>-((D3109-C3109)/D3109)</f>
        <v>0.05792818911685987</v>
      </c>
      <c r="G3109" s="75">
        <f>C3109-D3109</f>
        <v>2.5974999999999966</v>
      </c>
      <c r="H3109" s="74">
        <v>540</v>
      </c>
      <c r="I3109" s="74" t="s">
        <v>376</v>
      </c>
    </row>
    <row r="3110" spans="1:9" ht="12.75">
      <c r="A3110" s="5"/>
      <c r="B3110" s="73" t="s">
        <v>320</v>
      </c>
      <c r="C3110" s="75">
        <f>(5/4)^2*E3110</f>
        <v>48.109375</v>
      </c>
      <c r="D3110" s="74">
        <v>44.81</v>
      </c>
      <c r="E3110" s="74">
        <v>30.79</v>
      </c>
      <c r="F3110" s="76">
        <f>-((D3110-C3110)/D3110)</f>
        <v>0.07363032805177411</v>
      </c>
      <c r="G3110" s="75">
        <f>C3110-D3110</f>
        <v>3.2993749999999977</v>
      </c>
      <c r="H3110" s="74">
        <v>540</v>
      </c>
      <c r="I3110" s="74" t="s">
        <v>376</v>
      </c>
    </row>
    <row r="3111" spans="1:9" ht="12.75">
      <c r="A3111" s="5"/>
      <c r="B3111" s="73" t="s">
        <v>284</v>
      </c>
      <c r="C3111" s="75">
        <f>(5/4)^2*E3111</f>
        <v>44.75</v>
      </c>
      <c r="D3111" s="74">
        <v>43.62</v>
      </c>
      <c r="E3111" s="74">
        <v>28.64</v>
      </c>
      <c r="F3111" s="76">
        <f>-((D3111-C3111)/D3111)</f>
        <v>0.02590554791380107</v>
      </c>
      <c r="G3111" s="75">
        <f>C3111-D3111</f>
        <v>1.1300000000000026</v>
      </c>
      <c r="H3111" s="74">
        <v>540</v>
      </c>
      <c r="I3111" s="74" t="s">
        <v>376</v>
      </c>
    </row>
    <row r="3112" spans="1:9" ht="12.75">
      <c r="A3112" s="5"/>
      <c r="B3112" s="73" t="s">
        <v>285</v>
      </c>
      <c r="C3112" s="75">
        <f>(5/4)^2*E3112</f>
        <v>52.84375</v>
      </c>
      <c r="D3112" s="74">
        <v>50.23</v>
      </c>
      <c r="E3112" s="74">
        <v>33.82</v>
      </c>
      <c r="F3112" s="76">
        <f>-((D3112-C3112)/D3112)</f>
        <v>0.052035636074059394</v>
      </c>
      <c r="G3112" s="75">
        <f>C3112-D3112</f>
        <v>2.613750000000003</v>
      </c>
      <c r="H3112" s="74">
        <v>540</v>
      </c>
      <c r="I3112" s="74" t="s">
        <v>376</v>
      </c>
    </row>
    <row r="3113" spans="1:9" ht="12.75">
      <c r="A3113" s="5"/>
      <c r="B3113" s="73" t="s">
        <v>286</v>
      </c>
      <c r="C3113" s="75">
        <f>(5/4)^2*E3113</f>
        <v>37.890625</v>
      </c>
      <c r="D3113" s="74">
        <v>37.61</v>
      </c>
      <c r="E3113" s="74">
        <v>24.25</v>
      </c>
      <c r="F3113" s="76">
        <f>-((D3113-C3113)/D3113)</f>
        <v>0.007461446423823467</v>
      </c>
      <c r="G3113" s="75">
        <f>C3113-D3113</f>
        <v>0.28062500000000057</v>
      </c>
      <c r="H3113" s="74">
        <v>540</v>
      </c>
      <c r="I3113" s="74" t="s">
        <v>376</v>
      </c>
    </row>
    <row r="3114" spans="1:9" ht="12.75">
      <c r="A3114" s="5"/>
      <c r="B3114" s="73" t="s">
        <v>308</v>
      </c>
      <c r="C3114" s="75">
        <f>(5/4)^2*E3114</f>
        <v>46.171875</v>
      </c>
      <c r="D3114" s="74">
        <v>41.78</v>
      </c>
      <c r="E3114" s="74">
        <v>29.55</v>
      </c>
      <c r="F3114" s="76">
        <f>-((D3114-C3114)/D3114)</f>
        <v>0.10511907611297268</v>
      </c>
      <c r="G3114" s="75">
        <f>C3114-D3114</f>
        <v>4.391874999999999</v>
      </c>
      <c r="H3114" s="74">
        <v>540</v>
      </c>
      <c r="I3114" s="74" t="s">
        <v>376</v>
      </c>
    </row>
    <row r="3115" spans="1:9" ht="12.75">
      <c r="A3115" s="5"/>
      <c r="B3115" s="73" t="s">
        <v>287</v>
      </c>
      <c r="C3115" s="75">
        <f>(5/4)^2*E3115</f>
        <v>38.6875</v>
      </c>
      <c r="D3115" s="74">
        <v>37.64</v>
      </c>
      <c r="E3115" s="74">
        <v>24.76</v>
      </c>
      <c r="F3115" s="76">
        <f>-((D3115-C3115)/D3115)</f>
        <v>0.027829436769394245</v>
      </c>
      <c r="G3115" s="75">
        <f>C3115-D3115</f>
        <v>1.0474999999999994</v>
      </c>
      <c r="H3115" s="74">
        <v>540</v>
      </c>
      <c r="I3115" s="74" t="s">
        <v>376</v>
      </c>
    </row>
    <row r="3116" spans="1:9" ht="12.75">
      <c r="A3116" s="5"/>
      <c r="B3116" s="83"/>
      <c r="C3116" s="85"/>
      <c r="D3116" s="84"/>
      <c r="E3116" s="74" t="s">
        <v>14</v>
      </c>
      <c r="F3116" s="76">
        <f>AVERAGE(F3101:F3115)</f>
        <v>0.07424116663182395</v>
      </c>
      <c r="G3116" s="75">
        <f>AVERAGE(G3101:G3115)</f>
        <v>3.6000000000000014</v>
      </c>
      <c r="H3116" s="84"/>
      <c r="I3116" s="84"/>
    </row>
    <row r="3117" spans="1:9" ht="12.75">
      <c r="A3117" s="5"/>
      <c r="B3117" s="83"/>
      <c r="C3117" s="85"/>
      <c r="D3117" s="84"/>
      <c r="E3117" s="70"/>
      <c r="F3117" s="72"/>
      <c r="G3117" s="71"/>
      <c r="H3117" s="84"/>
      <c r="I3117" s="84"/>
    </row>
    <row r="3118" spans="1:9" ht="12.75">
      <c r="A3118" s="79" t="s">
        <v>0</v>
      </c>
      <c r="B3118" s="79" t="s">
        <v>1</v>
      </c>
      <c r="C3118" s="80" t="s">
        <v>378</v>
      </c>
      <c r="D3118" s="80" t="s">
        <v>194</v>
      </c>
      <c r="E3118" s="80" t="s">
        <v>218</v>
      </c>
      <c r="F3118" s="80" t="s">
        <v>5</v>
      </c>
      <c r="G3118" s="80" t="s">
        <v>6</v>
      </c>
      <c r="H3118" s="80" t="s">
        <v>7</v>
      </c>
      <c r="I3118" s="80" t="s">
        <v>8</v>
      </c>
    </row>
    <row r="3119" spans="1:9" ht="12.75">
      <c r="A3119" s="79" t="s">
        <v>377</v>
      </c>
      <c r="B3119" s="79" t="s">
        <v>312</v>
      </c>
      <c r="C3119" s="81">
        <f>(6/5)^1.72*E3119</f>
        <v>56.553195371518484</v>
      </c>
      <c r="D3119" s="80">
        <v>54.9</v>
      </c>
      <c r="E3119" s="80">
        <v>41.33</v>
      </c>
      <c r="F3119" s="82">
        <f>-((D3119-C3119)/D3119)</f>
        <v>0.030112848297240175</v>
      </c>
      <c r="G3119" s="81">
        <f>C3119-D3119</f>
        <v>1.6531953715184855</v>
      </c>
      <c r="H3119" s="80">
        <v>540</v>
      </c>
      <c r="I3119" s="80" t="s">
        <v>376</v>
      </c>
    </row>
    <row r="3120" spans="2:9" ht="12.75">
      <c r="B3120" s="79" t="s">
        <v>300</v>
      </c>
      <c r="C3120" s="81">
        <f>(6/5)^1.72*E3120</f>
        <v>51.25774736552341</v>
      </c>
      <c r="D3120" s="80">
        <v>49.95</v>
      </c>
      <c r="E3120" s="80">
        <v>37.46</v>
      </c>
      <c r="F3120" s="82">
        <f>-((D3120-C3120)/D3120)</f>
        <v>0.026181128438906996</v>
      </c>
      <c r="G3120" s="81">
        <f>C3120-D3120</f>
        <v>1.3077473655234044</v>
      </c>
      <c r="H3120" s="80">
        <v>540</v>
      </c>
      <c r="I3120" s="80" t="s">
        <v>376</v>
      </c>
    </row>
    <row r="3121" spans="2:9" ht="12.75">
      <c r="B3121" s="79" t="s">
        <v>299</v>
      </c>
      <c r="C3121" s="81">
        <f>(6/5)^1.72*E3121</f>
        <v>36.1650363820284</v>
      </c>
      <c r="D3121" s="80">
        <v>35.68</v>
      </c>
      <c r="E3121" s="80">
        <v>26.43</v>
      </c>
      <c r="F3121" s="82">
        <f>-((D3121-C3121)/D3121)</f>
        <v>0.013594069003038044</v>
      </c>
      <c r="G3121" s="81">
        <f>C3121-D3121</f>
        <v>0.4850363820283974</v>
      </c>
      <c r="H3121" s="80">
        <v>540</v>
      </c>
      <c r="I3121" s="80" t="s">
        <v>376</v>
      </c>
    </row>
    <row r="3122" spans="2:9" ht="12.75">
      <c r="B3122" s="79" t="s">
        <v>301</v>
      </c>
      <c r="C3122" s="81">
        <f>(6/5)^1.72*E3122</f>
        <v>35.302986706633845</v>
      </c>
      <c r="D3122" s="80">
        <v>34.58</v>
      </c>
      <c r="E3122" s="80">
        <v>25.8</v>
      </c>
      <c r="F3122" s="82">
        <f>-((D3122-C3122)/D3122)</f>
        <v>0.020907654905547923</v>
      </c>
      <c r="G3122" s="81">
        <f>C3122-D3122</f>
        <v>0.7229867066338471</v>
      </c>
      <c r="H3122" s="80">
        <v>540</v>
      </c>
      <c r="I3122" s="80" t="s">
        <v>376</v>
      </c>
    </row>
    <row r="3123" spans="2:9" ht="12.75">
      <c r="B3123" s="79" t="s">
        <v>288</v>
      </c>
      <c r="C3123" s="81">
        <f>(6/5)^1.72*E3123</f>
        <v>47.0569656139976</v>
      </c>
      <c r="D3123" s="80">
        <v>47</v>
      </c>
      <c r="E3123" s="80">
        <v>34.39</v>
      </c>
      <c r="F3123" s="82">
        <f>-((D3123-C3123)/D3123)</f>
        <v>0.0012120343403744167</v>
      </c>
      <c r="G3123" s="81">
        <f>C3123-D3123</f>
        <v>0.056965613997597586</v>
      </c>
      <c r="H3123" s="80">
        <v>540</v>
      </c>
      <c r="I3123" s="80" t="s">
        <v>376</v>
      </c>
    </row>
    <row r="3124" spans="2:9" ht="12.75">
      <c r="B3124" s="79" t="s">
        <v>286</v>
      </c>
      <c r="C3124" s="81">
        <f>(6/5)^1.72*E3124</f>
        <v>51.462997288236394</v>
      </c>
      <c r="D3124" s="80">
        <v>53.08</v>
      </c>
      <c r="E3124" s="80">
        <v>37.61</v>
      </c>
      <c r="F3124" s="82">
        <f>-((D3124-C3124)/D3124)</f>
        <v>-0.030463502482358778</v>
      </c>
      <c r="G3124" s="81">
        <f>C3124-D3124</f>
        <v>-1.6170027117636039</v>
      </c>
      <c r="H3124" s="80">
        <v>540</v>
      </c>
      <c r="I3124" s="80" t="s">
        <v>376</v>
      </c>
    </row>
    <row r="3125" spans="2:9" ht="12.75">
      <c r="B3125" s="79" t="s">
        <v>289</v>
      </c>
      <c r="C3125" s="81">
        <f>(6/5)^1.72*E3125</f>
        <v>47.357998833976644</v>
      </c>
      <c r="D3125" s="80">
        <v>49.08</v>
      </c>
      <c r="E3125" s="80">
        <v>34.61</v>
      </c>
      <c r="F3125" s="82">
        <f>-((D3125-C3125)/D3125)</f>
        <v>-0.03508559832973419</v>
      </c>
      <c r="G3125" s="81">
        <f>C3125-D3125</f>
        <v>-1.7220011660233538</v>
      </c>
      <c r="H3125" s="80">
        <v>540</v>
      </c>
      <c r="I3125" s="80" t="s">
        <v>376</v>
      </c>
    </row>
    <row r="3126" spans="2:9" ht="12.75">
      <c r="B3126" s="79" t="s">
        <v>308</v>
      </c>
      <c r="C3126" s="81">
        <f>(6/5)^1.72*E3126</f>
        <v>57.16894513965745</v>
      </c>
      <c r="D3126" s="80">
        <v>55.74</v>
      </c>
      <c r="E3126" s="80">
        <v>41.78</v>
      </c>
      <c r="F3126" s="82">
        <f>-((D3126-C3126)/D3126)</f>
        <v>0.025635901321446906</v>
      </c>
      <c r="G3126" s="81">
        <f>C3126-D3126</f>
        <v>1.4289451396574506</v>
      </c>
      <c r="H3126" s="80">
        <v>540</v>
      </c>
      <c r="I3126" s="80" t="s">
        <v>376</v>
      </c>
    </row>
    <row r="3127" spans="2:9" ht="12.75">
      <c r="B3127" s="79" t="s">
        <v>287</v>
      </c>
      <c r="C3127" s="81">
        <f>(6/5)^1.72*E3127</f>
        <v>51.504047272779</v>
      </c>
      <c r="D3127" s="80">
        <v>52.72</v>
      </c>
      <c r="E3127" s="80">
        <v>37.64</v>
      </c>
      <c r="F3127" s="82">
        <f>-((D3127-C3127)/D3127)</f>
        <v>-0.023064353702978022</v>
      </c>
      <c r="G3127" s="81">
        <f>C3127-D3127</f>
        <v>-1.2159527272210013</v>
      </c>
      <c r="H3127" s="80">
        <v>540</v>
      </c>
      <c r="I3127" s="80" t="s">
        <v>376</v>
      </c>
    </row>
    <row r="3128" spans="2:9" ht="12.75">
      <c r="B3128" s="79" t="s">
        <v>242</v>
      </c>
      <c r="C3128" s="81">
        <f>(6/5)^1.72*E3128</f>
        <v>42.30885073523716</v>
      </c>
      <c r="D3128" s="80">
        <v>42.37</v>
      </c>
      <c r="E3128" s="80">
        <v>30.92</v>
      </c>
      <c r="F3128" s="82">
        <f>-((D3128-C3128)/D3128)</f>
        <v>-0.0014432207874165578</v>
      </c>
      <c r="G3128" s="81">
        <f>C3128-D3128</f>
        <v>-0.06114926476283955</v>
      </c>
      <c r="H3128" s="80">
        <v>540</v>
      </c>
      <c r="I3128" s="80" t="s">
        <v>376</v>
      </c>
    </row>
    <row r="3129" spans="2:9" ht="12.75">
      <c r="B3129" s="79" t="s">
        <v>243</v>
      </c>
      <c r="C3129" s="81">
        <f>(6/5)^1.72*E3129</f>
        <v>42.0899174843433</v>
      </c>
      <c r="D3129" s="80">
        <v>42.38</v>
      </c>
      <c r="E3129" s="80">
        <v>30.76</v>
      </c>
      <c r="F3129" s="82">
        <f>-((D3129-C3129)/D3129)</f>
        <v>-0.006844797443527595</v>
      </c>
      <c r="G3129" s="81">
        <f>C3129-D3129</f>
        <v>-0.2900825156566995</v>
      </c>
      <c r="H3129" s="80">
        <v>540</v>
      </c>
      <c r="I3129" s="80" t="s">
        <v>376</v>
      </c>
    </row>
    <row r="3130" spans="2:9" ht="12.75">
      <c r="B3130" s="79" t="s">
        <v>244</v>
      </c>
      <c r="C3130" s="81">
        <f>(6/5)^1.72*E3130</f>
        <v>35.658753239336356</v>
      </c>
      <c r="D3130" s="80">
        <v>35.77</v>
      </c>
      <c r="E3130" s="80">
        <v>26.06</v>
      </c>
      <c r="F3130" s="82">
        <f>-((D3130-C3130)/D3130)</f>
        <v>-0.003110057608712528</v>
      </c>
      <c r="G3130" s="81">
        <f>C3130-D3130</f>
        <v>-0.11124676066364714</v>
      </c>
      <c r="H3130" s="80">
        <v>540</v>
      </c>
      <c r="I3130" s="80" t="s">
        <v>376</v>
      </c>
    </row>
    <row r="3131" spans="2:9" ht="12.75">
      <c r="B3131" s="79"/>
      <c r="C3131" s="81"/>
      <c r="D3131" s="80"/>
      <c r="E3131" s="80" t="s">
        <v>14</v>
      </c>
      <c r="F3131" s="82">
        <f>AVERAGE(F3119:F3130)</f>
        <v>0.0014693421626522328</v>
      </c>
      <c r="G3131" s="81">
        <f>AVERAGE(G3119:G3130)</f>
        <v>0.05312011943900311</v>
      </c>
      <c r="H3131" s="80"/>
      <c r="I3131" s="80"/>
    </row>
    <row r="3132" spans="1:9" ht="12.75">
      <c r="A3132" s="5"/>
      <c r="C3132" s="81"/>
      <c r="D3132" s="80"/>
      <c r="E3132" s="80"/>
      <c r="F3132" s="82"/>
      <c r="G3132" s="81"/>
      <c r="H3132" s="80"/>
      <c r="I3132" s="80"/>
    </row>
    <row r="3133" spans="1:9" ht="12.75">
      <c r="A3133" s="83" t="s">
        <v>0</v>
      </c>
      <c r="B3133" s="83" t="s">
        <v>1</v>
      </c>
      <c r="C3133" s="84" t="s">
        <v>247</v>
      </c>
      <c r="D3133" s="84" t="s">
        <v>194</v>
      </c>
      <c r="E3133" s="84" t="s">
        <v>218</v>
      </c>
      <c r="F3133" s="84" t="s">
        <v>5</v>
      </c>
      <c r="G3133" s="84" t="s">
        <v>6</v>
      </c>
      <c r="H3133" s="84" t="s">
        <v>7</v>
      </c>
      <c r="I3133" s="84" t="s">
        <v>8</v>
      </c>
    </row>
    <row r="3134" spans="1:9" ht="12.75">
      <c r="A3134" s="83" t="s">
        <v>377</v>
      </c>
      <c r="B3134" s="83" t="s">
        <v>312</v>
      </c>
      <c r="C3134" s="85">
        <f>(6/5)^2*E3134</f>
        <v>59.51519999999999</v>
      </c>
      <c r="D3134" s="84">
        <v>54.9</v>
      </c>
      <c r="E3134" s="84">
        <v>41.33</v>
      </c>
      <c r="F3134" s="86">
        <f>-((D3134-C3134)/D3134)</f>
        <v>0.0840655737704917</v>
      </c>
      <c r="G3134" s="85">
        <f>C3134-D3134</f>
        <v>4.615199999999994</v>
      </c>
      <c r="H3134" s="84">
        <v>540</v>
      </c>
      <c r="I3134" s="84" t="s">
        <v>376</v>
      </c>
    </row>
    <row r="3135" spans="1:9" ht="12.75">
      <c r="A3135" s="5"/>
      <c r="B3135" s="83" t="s">
        <v>300</v>
      </c>
      <c r="C3135" s="85">
        <f>(6/5)^2*E3135</f>
        <v>53.9424</v>
      </c>
      <c r="D3135" s="84">
        <v>49.95</v>
      </c>
      <c r="E3135" s="84">
        <v>37.46</v>
      </c>
      <c r="F3135" s="86">
        <f>-((D3135-C3135)/D3135)</f>
        <v>0.07992792792792786</v>
      </c>
      <c r="G3135" s="85">
        <f>C3135-D3135</f>
        <v>3.9923999999999964</v>
      </c>
      <c r="H3135" s="84">
        <v>540</v>
      </c>
      <c r="I3135" s="84" t="s">
        <v>376</v>
      </c>
    </row>
    <row r="3136" spans="1:9" ht="12.75">
      <c r="A3136" s="5"/>
      <c r="B3136" s="83" t="s">
        <v>299</v>
      </c>
      <c r="C3136" s="85">
        <f>(6/5)^2*E3136</f>
        <v>38.0592</v>
      </c>
      <c r="D3136" s="84">
        <v>35.68</v>
      </c>
      <c r="E3136" s="84">
        <v>26.43</v>
      </c>
      <c r="F3136" s="86">
        <f>-((D3136-C3136)/D3136)</f>
        <v>0.06668161434977571</v>
      </c>
      <c r="G3136" s="85">
        <f>C3136-D3136</f>
        <v>2.3791999999999973</v>
      </c>
      <c r="H3136" s="84">
        <v>540</v>
      </c>
      <c r="I3136" s="84" t="s">
        <v>376</v>
      </c>
    </row>
    <row r="3137" spans="1:9" ht="12.75">
      <c r="A3137" s="5"/>
      <c r="B3137" s="83" t="s">
        <v>301</v>
      </c>
      <c r="C3137" s="85">
        <f>(6/5)^2*E3137</f>
        <v>37.152</v>
      </c>
      <c r="D3137" s="84">
        <v>34.58</v>
      </c>
      <c r="E3137" s="84">
        <v>25.8</v>
      </c>
      <c r="F3137" s="86">
        <f>-((D3137-C3137)/D3137)</f>
        <v>0.07437825332562183</v>
      </c>
      <c r="G3137" s="85">
        <f>C3137-D3137</f>
        <v>2.5720000000000027</v>
      </c>
      <c r="H3137" s="84">
        <v>540</v>
      </c>
      <c r="I3137" s="84" t="s">
        <v>376</v>
      </c>
    </row>
    <row r="3138" spans="1:9" ht="12.75">
      <c r="A3138" s="5"/>
      <c r="B3138" s="83" t="s">
        <v>288</v>
      </c>
      <c r="C3138" s="85">
        <f>(6/5)^2*E3138</f>
        <v>49.5216</v>
      </c>
      <c r="D3138" s="84">
        <v>47</v>
      </c>
      <c r="E3138" s="84">
        <v>34.39</v>
      </c>
      <c r="F3138" s="86">
        <f>-((D3138-C3138)/D3138)</f>
        <v>0.053651063829787224</v>
      </c>
      <c r="G3138" s="85">
        <f>C3138-D3138</f>
        <v>2.5215999999999994</v>
      </c>
      <c r="H3138" s="84">
        <v>540</v>
      </c>
      <c r="I3138" s="84" t="s">
        <v>376</v>
      </c>
    </row>
    <row r="3139" spans="1:9" ht="12.75">
      <c r="A3139" s="5"/>
      <c r="B3139" s="83" t="s">
        <v>286</v>
      </c>
      <c r="C3139" s="85">
        <f>(6/5)^2*E3139</f>
        <v>54.1584</v>
      </c>
      <c r="D3139" s="84">
        <v>53.08</v>
      </c>
      <c r="E3139" s="84">
        <v>37.61</v>
      </c>
      <c r="F3139" s="86">
        <f>-((D3139-C3139)/D3139)</f>
        <v>0.020316503391107802</v>
      </c>
      <c r="G3139" s="85">
        <f>C3139-D3139</f>
        <v>1.078400000000002</v>
      </c>
      <c r="H3139" s="84">
        <v>540</v>
      </c>
      <c r="I3139" s="84" t="s">
        <v>376</v>
      </c>
    </row>
    <row r="3140" spans="1:9" ht="12.75">
      <c r="A3140" s="5"/>
      <c r="B3140" s="83" t="s">
        <v>289</v>
      </c>
      <c r="C3140" s="85">
        <f>(6/5)^2*E3140</f>
        <v>49.8384</v>
      </c>
      <c r="D3140" s="84">
        <v>49.08</v>
      </c>
      <c r="E3140" s="84">
        <v>34.61</v>
      </c>
      <c r="F3140" s="86">
        <f>-((D3140-C3140)/D3140)</f>
        <v>0.015452322738386344</v>
      </c>
      <c r="G3140" s="85">
        <f>C3140-D3140</f>
        <v>0.7584000000000017</v>
      </c>
      <c r="H3140" s="84">
        <v>540</v>
      </c>
      <c r="I3140" s="84" t="s">
        <v>376</v>
      </c>
    </row>
    <row r="3141" spans="1:9" ht="12.75">
      <c r="A3141" s="5"/>
      <c r="B3141" s="83" t="s">
        <v>308</v>
      </c>
      <c r="C3141" s="85">
        <f>(6/5)^2*E3141</f>
        <v>60.163199999999996</v>
      </c>
      <c r="D3141" s="84">
        <v>55.74</v>
      </c>
      <c r="E3141" s="84">
        <v>41.78</v>
      </c>
      <c r="F3141" s="86">
        <f>-((D3141-C3141)/D3141)</f>
        <v>0.07935414424111938</v>
      </c>
      <c r="G3141" s="85">
        <f>C3141-D3141</f>
        <v>4.423199999999994</v>
      </c>
      <c r="H3141" s="84">
        <v>540</v>
      </c>
      <c r="I3141" s="84" t="s">
        <v>376</v>
      </c>
    </row>
    <row r="3142" spans="1:9" ht="12.75">
      <c r="A3142" s="5"/>
      <c r="B3142" s="83" t="s">
        <v>287</v>
      </c>
      <c r="C3142" s="85">
        <f>(6/5)^2*E3142</f>
        <v>54.2016</v>
      </c>
      <c r="D3142" s="84">
        <v>52.72</v>
      </c>
      <c r="E3142" s="84">
        <v>37.64</v>
      </c>
      <c r="F3142" s="86">
        <f>-((D3142-C3142)/D3142)</f>
        <v>0.028103186646433995</v>
      </c>
      <c r="G3142" s="85">
        <f>C3142-D3142</f>
        <v>1.4816000000000003</v>
      </c>
      <c r="H3142" s="84">
        <v>540</v>
      </c>
      <c r="I3142" s="84" t="s">
        <v>376</v>
      </c>
    </row>
    <row r="3143" spans="1:9" ht="12.75">
      <c r="A3143" s="5"/>
      <c r="B3143" s="83" t="s">
        <v>242</v>
      </c>
      <c r="C3143" s="85">
        <f>(6/5)^2*E3143</f>
        <v>44.5248</v>
      </c>
      <c r="D3143" s="84">
        <v>42.37</v>
      </c>
      <c r="E3143" s="84">
        <v>30.92</v>
      </c>
      <c r="F3143" s="86">
        <f>-((D3143-C3143)/D3143)</f>
        <v>0.0508567382582016</v>
      </c>
      <c r="G3143" s="85">
        <f>C3143-D3143</f>
        <v>2.1548000000000016</v>
      </c>
      <c r="H3143" s="84">
        <v>540</v>
      </c>
      <c r="I3143" s="84" t="s">
        <v>376</v>
      </c>
    </row>
    <row r="3144" spans="1:9" ht="12.75">
      <c r="A3144" s="5"/>
      <c r="B3144" s="83" t="s">
        <v>243</v>
      </c>
      <c r="C3144" s="85">
        <f>(6/5)^2*E3144</f>
        <v>44.2944</v>
      </c>
      <c r="D3144" s="84">
        <v>42.38</v>
      </c>
      <c r="E3144" s="84">
        <v>30.76</v>
      </c>
      <c r="F3144" s="86">
        <f>-((D3144-C3144)/D3144)</f>
        <v>0.04517225106182162</v>
      </c>
      <c r="G3144" s="85">
        <f>C3144-D3144</f>
        <v>1.9144000000000005</v>
      </c>
      <c r="H3144" s="84">
        <v>540</v>
      </c>
      <c r="I3144" s="84" t="s">
        <v>376</v>
      </c>
    </row>
    <row r="3145" spans="1:9" ht="12.75">
      <c r="A3145" s="5"/>
      <c r="B3145" s="83" t="s">
        <v>244</v>
      </c>
      <c r="C3145" s="85">
        <f>(6/5)^2*E3145</f>
        <v>37.526399999999995</v>
      </c>
      <c r="D3145" s="84">
        <v>35.77</v>
      </c>
      <c r="E3145" s="84">
        <v>26.06</v>
      </c>
      <c r="F3145" s="86">
        <f>-((D3145-C3145)/D3145)</f>
        <v>0.049102599944087</v>
      </c>
      <c r="G3145" s="85">
        <f>C3145-D3145</f>
        <v>1.7563999999999922</v>
      </c>
      <c r="H3145" s="84">
        <v>540</v>
      </c>
      <c r="I3145" s="84" t="s">
        <v>376</v>
      </c>
    </row>
    <row r="3146" spans="1:9" ht="12.75">
      <c r="A3146" s="5"/>
      <c r="B3146" s="83"/>
      <c r="C3146" s="85"/>
      <c r="D3146" s="84"/>
      <c r="E3146" s="84" t="s">
        <v>14</v>
      </c>
      <c r="F3146" s="86">
        <f>AVERAGE(F3134:F3145)</f>
        <v>0.05392184829039684</v>
      </c>
      <c r="G3146" s="85">
        <f>AVERAGE(G3134:G3145)</f>
        <v>2.470633333333332</v>
      </c>
      <c r="H3146" s="84"/>
      <c r="I3146" s="84"/>
    </row>
    <row r="3147" spans="1:9" ht="12.75">
      <c r="A3147" s="5"/>
      <c r="B3147" s="83"/>
      <c r="C3147" s="85"/>
      <c r="D3147" s="84"/>
      <c r="E3147" s="84"/>
      <c r="F3147" s="86"/>
      <c r="G3147" s="85"/>
      <c r="H3147" s="84"/>
      <c r="I3147" s="84"/>
    </row>
    <row r="3148" spans="1:9" ht="12.75">
      <c r="A3148" s="90" t="s">
        <v>0</v>
      </c>
      <c r="B3148" s="90" t="s">
        <v>1</v>
      </c>
      <c r="C3148" s="91" t="s">
        <v>379</v>
      </c>
      <c r="D3148" s="91" t="s">
        <v>206</v>
      </c>
      <c r="E3148" s="91" t="s">
        <v>194</v>
      </c>
      <c r="F3148" s="91" t="s">
        <v>5</v>
      </c>
      <c r="G3148" s="91" t="s">
        <v>6</v>
      </c>
      <c r="H3148" s="91" t="s">
        <v>7</v>
      </c>
      <c r="I3148" s="91" t="s">
        <v>8</v>
      </c>
    </row>
    <row r="3149" spans="1:9" ht="12.75">
      <c r="A3149" s="90" t="s">
        <v>377</v>
      </c>
      <c r="B3149" s="90" t="s">
        <v>301</v>
      </c>
      <c r="C3149" s="92">
        <f>(8/6)^1.85*E3149</f>
        <v>58.879166257467304</v>
      </c>
      <c r="D3149" s="91">
        <v>56.28</v>
      </c>
      <c r="E3149" s="91">
        <v>34.58</v>
      </c>
      <c r="F3149" s="93">
        <f>-((D3149-C3149)/D3149)</f>
        <v>0.04618276932244675</v>
      </c>
      <c r="G3149" s="92">
        <f>C3149-D3149</f>
        <v>2.599166257467303</v>
      </c>
      <c r="H3149" s="91">
        <v>540</v>
      </c>
      <c r="I3149" s="91" t="s">
        <v>376</v>
      </c>
    </row>
    <row r="3150" spans="1:9" ht="12.75">
      <c r="A3150" s="94"/>
      <c r="B3150" s="90" t="s">
        <v>91</v>
      </c>
      <c r="C3150" s="92">
        <f>(8/6)^1.85*E3150</f>
        <v>53.328383088024175</v>
      </c>
      <c r="D3150" s="91">
        <v>48.7</v>
      </c>
      <c r="E3150" s="91">
        <v>31.32</v>
      </c>
      <c r="F3150" s="93">
        <f>-((D3150-C3150)/D3150)</f>
        <v>0.09503866710521913</v>
      </c>
      <c r="G3150" s="92">
        <f>C3150-D3150</f>
        <v>4.628383088024172</v>
      </c>
      <c r="H3150" s="91">
        <v>540</v>
      </c>
      <c r="I3150" s="91" t="s">
        <v>376</v>
      </c>
    </row>
    <row r="3151" spans="1:9" ht="12.75">
      <c r="A3151" s="94"/>
      <c r="B3151" s="90" t="s">
        <v>92</v>
      </c>
      <c r="C3151" s="92">
        <f>(8/6)^1.85*E3151</f>
        <v>43.657079897092586</v>
      </c>
      <c r="D3151" s="91">
        <v>41.29</v>
      </c>
      <c r="E3151" s="91">
        <v>25.64</v>
      </c>
      <c r="F3151" s="93">
        <f>-((D3151-C3151)/D3151)</f>
        <v>0.057328164133993394</v>
      </c>
      <c r="G3151" s="92">
        <f>C3151-D3151</f>
        <v>2.3670798970925873</v>
      </c>
      <c r="H3151" s="91">
        <v>540</v>
      </c>
      <c r="I3151" s="91" t="s">
        <v>376</v>
      </c>
    </row>
    <row r="3152" spans="1:9" ht="12.75">
      <c r="A3152" s="94"/>
      <c r="B3152" s="90" t="s">
        <v>96</v>
      </c>
      <c r="C3152" s="92">
        <f>(8/6)^1.85*E3152</f>
        <v>47.23273776697926</v>
      </c>
      <c r="D3152" s="91">
        <v>51.53</v>
      </c>
      <c r="E3152" s="91">
        <v>27.74</v>
      </c>
      <c r="F3152" s="93">
        <f>-((D3152-C3152)/D3152)</f>
        <v>-0.08339340642384512</v>
      </c>
      <c r="G3152" s="92">
        <f>C3152-D3152</f>
        <v>-4.297262233020739</v>
      </c>
      <c r="H3152" s="91">
        <v>540</v>
      </c>
      <c r="I3152" s="91" t="s">
        <v>376</v>
      </c>
    </row>
    <row r="3153" spans="1:9" ht="12.75">
      <c r="A3153" s="94"/>
      <c r="B3153" s="90" t="s">
        <v>97</v>
      </c>
      <c r="C3153" s="92">
        <f>(8/6)^1.85*E3153</f>
        <v>52.13649713139528</v>
      </c>
      <c r="D3153" s="91">
        <v>54.81</v>
      </c>
      <c r="E3153" s="91">
        <v>30.62</v>
      </c>
      <c r="F3153" s="93">
        <f>-((D3153-C3153)/D3153)</f>
        <v>-0.04877764766657036</v>
      </c>
      <c r="G3153" s="92">
        <f>C3153-D3153</f>
        <v>-2.6735028686047215</v>
      </c>
      <c r="H3153" s="91">
        <v>540</v>
      </c>
      <c r="I3153" s="91" t="s">
        <v>376</v>
      </c>
    </row>
    <row r="3154" spans="1:9" ht="12.75">
      <c r="A3154" s="94"/>
      <c r="B3154" s="90" t="s">
        <v>98</v>
      </c>
      <c r="C3154" s="92">
        <f>(8/6)^1.85*E3154</f>
        <v>43.55491824366725</v>
      </c>
      <c r="D3154" s="91">
        <v>45.97</v>
      </c>
      <c r="E3154" s="91">
        <v>25.58</v>
      </c>
      <c r="F3154" s="93">
        <f>-((D3154-C3154)/D3154)</f>
        <v>-0.05253603994632905</v>
      </c>
      <c r="G3154" s="92">
        <f>C3154-D3154</f>
        <v>-2.4150817563327465</v>
      </c>
      <c r="H3154" s="91">
        <v>540</v>
      </c>
      <c r="I3154" s="91" t="s">
        <v>376</v>
      </c>
    </row>
    <row r="3155" spans="1:9" ht="12.75">
      <c r="A3155" s="94"/>
      <c r="B3155" s="90"/>
      <c r="C3155" s="92"/>
      <c r="D3155" s="91"/>
      <c r="E3155" s="91" t="s">
        <v>14</v>
      </c>
      <c r="F3155" s="93">
        <f>AVERAGE(F3149:F3154)</f>
        <v>0.0023070844208191235</v>
      </c>
      <c r="G3155" s="92">
        <f>AVERAGE(G3149:G3154)</f>
        <v>0.03479706410430931</v>
      </c>
      <c r="H3155" s="91"/>
      <c r="I3155" s="91"/>
    </row>
    <row r="3156" spans="1:9" ht="12.75">
      <c r="A3156" s="94"/>
      <c r="B3156" s="90"/>
      <c r="C3156" s="92"/>
      <c r="D3156" s="91"/>
      <c r="E3156" s="91"/>
      <c r="F3156" s="93"/>
      <c r="G3156" s="92"/>
      <c r="H3156" s="91"/>
      <c r="I3156" s="91"/>
    </row>
    <row r="3157" spans="1:9" ht="12.75">
      <c r="A3157" s="94" t="s">
        <v>0</v>
      </c>
      <c r="B3157" s="94" t="s">
        <v>1</v>
      </c>
      <c r="C3157" s="95" t="s">
        <v>349</v>
      </c>
      <c r="D3157" s="95" t="s">
        <v>206</v>
      </c>
      <c r="E3157" s="95" t="s">
        <v>194</v>
      </c>
      <c r="F3157" s="95" t="s">
        <v>5</v>
      </c>
      <c r="G3157" s="95" t="s">
        <v>6</v>
      </c>
      <c r="H3157" s="95" t="s">
        <v>7</v>
      </c>
      <c r="I3157" s="95" t="s">
        <v>8</v>
      </c>
    </row>
    <row r="3158" spans="1:9" ht="12.75">
      <c r="A3158" s="94" t="s">
        <v>377</v>
      </c>
      <c r="B3158" s="94" t="s">
        <v>301</v>
      </c>
      <c r="C3158" s="96">
        <f>(8/6)^2*E3158</f>
        <v>61.47555555555555</v>
      </c>
      <c r="D3158" s="95">
        <v>56.28</v>
      </c>
      <c r="E3158" s="95">
        <v>34.58</v>
      </c>
      <c r="F3158" s="97">
        <f>-((D3158-C3158)/D3158)</f>
        <v>0.09231619679380865</v>
      </c>
      <c r="G3158" s="96">
        <f>C3158-D3158</f>
        <v>5.195555555555551</v>
      </c>
      <c r="H3158" s="95">
        <v>540</v>
      </c>
      <c r="I3158" s="95" t="s">
        <v>376</v>
      </c>
    </row>
    <row r="3159" spans="1:9" ht="12.75">
      <c r="A3159" s="94"/>
      <c r="B3159" s="94" t="s">
        <v>91</v>
      </c>
      <c r="C3159" s="96">
        <f>(8/6)^2*E3159</f>
        <v>55.68</v>
      </c>
      <c r="D3159" s="95">
        <v>48.7</v>
      </c>
      <c r="E3159" s="95">
        <v>31.32</v>
      </c>
      <c r="F3159" s="97">
        <f>-((D3159-C3159)/D3159)</f>
        <v>0.14332648870636544</v>
      </c>
      <c r="G3159" s="96">
        <f>C3159-D3159</f>
        <v>6.979999999999997</v>
      </c>
      <c r="H3159" s="95">
        <v>540</v>
      </c>
      <c r="I3159" s="95" t="s">
        <v>376</v>
      </c>
    </row>
    <row r="3160" spans="1:9" ht="12.75">
      <c r="A3160" s="94"/>
      <c r="B3160" s="94" t="s">
        <v>92</v>
      </c>
      <c r="C3160" s="96">
        <f>(8/6)^2*E3160</f>
        <v>45.58222222222222</v>
      </c>
      <c r="D3160" s="95">
        <v>41.29</v>
      </c>
      <c r="E3160" s="95">
        <v>25.64</v>
      </c>
      <c r="F3160" s="97">
        <f>-((D3160-C3160)/D3160)</f>
        <v>0.10395306907779661</v>
      </c>
      <c r="G3160" s="96">
        <f>C3160-D3160</f>
        <v>4.292222222222222</v>
      </c>
      <c r="H3160" s="95">
        <v>540</v>
      </c>
      <c r="I3160" s="95" t="s">
        <v>376</v>
      </c>
    </row>
    <row r="3161" spans="1:9" ht="12.75">
      <c r="A3161" s="94"/>
      <c r="B3161" s="94" t="s">
        <v>96</v>
      </c>
      <c r="C3161" s="96">
        <f>(8/6)^2*E3161</f>
        <v>49.31555555555555</v>
      </c>
      <c r="D3161" s="95">
        <v>51.53</v>
      </c>
      <c r="E3161" s="95">
        <v>27.74</v>
      </c>
      <c r="F3161" s="97">
        <f>-((D3161-C3161)/D3161)</f>
        <v>-0.0429738879185805</v>
      </c>
      <c r="G3161" s="96">
        <f>C3161-D3161</f>
        <v>-2.214444444444453</v>
      </c>
      <c r="H3161" s="95">
        <v>540</v>
      </c>
      <c r="I3161" s="95" t="s">
        <v>376</v>
      </c>
    </row>
    <row r="3162" spans="1:9" ht="12.75">
      <c r="A3162" s="94"/>
      <c r="B3162" s="94" t="s">
        <v>97</v>
      </c>
      <c r="C3162" s="96">
        <f>(8/6)^2*E3162</f>
        <v>54.43555555555555</v>
      </c>
      <c r="D3162" s="95">
        <v>54.81</v>
      </c>
      <c r="E3162" s="95">
        <v>30.62</v>
      </c>
      <c r="F3162" s="97">
        <f>-((D3162-C3162)/D3162)</f>
        <v>-0.006831681161183172</v>
      </c>
      <c r="G3162" s="96">
        <f>C3162-D3162</f>
        <v>-0.3744444444444497</v>
      </c>
      <c r="H3162" s="95">
        <v>540</v>
      </c>
      <c r="I3162" s="95" t="s">
        <v>376</v>
      </c>
    </row>
    <row r="3163" spans="1:9" ht="12.75">
      <c r="A3163" s="94"/>
      <c r="B3163" s="94" t="s">
        <v>98</v>
      </c>
      <c r="C3163" s="96">
        <f>(8/6)^2*E3163</f>
        <v>45.47555555555555</v>
      </c>
      <c r="D3163" s="95">
        <v>45.97</v>
      </c>
      <c r="E3163" s="95">
        <v>25.58</v>
      </c>
      <c r="F3163" s="97">
        <f>-((D3163-C3163)/D3163)</f>
        <v>-0.010755806927223126</v>
      </c>
      <c r="G3163" s="96">
        <f>C3163-D3163</f>
        <v>-0.49444444444444713</v>
      </c>
      <c r="H3163" s="95">
        <v>540</v>
      </c>
      <c r="I3163" s="95" t="s">
        <v>376</v>
      </c>
    </row>
    <row r="3164" spans="1:9" ht="12.75">
      <c r="A3164" s="94"/>
      <c r="B3164" s="94"/>
      <c r="C3164" s="96"/>
      <c r="D3164" s="95"/>
      <c r="E3164" s="95" t="s">
        <v>14</v>
      </c>
      <c r="F3164" s="97">
        <f>AVERAGE(F3158:F3163)</f>
        <v>0.04650572976183065</v>
      </c>
      <c r="G3164" s="96">
        <f>AVERAGE(G3158:G3163)</f>
        <v>2.2307407407407367</v>
      </c>
      <c r="H3164" s="95"/>
      <c r="I3164" s="95"/>
    </row>
    <row r="3165" spans="1:8" ht="12.75">
      <c r="A3165" s="5"/>
      <c r="B3165" s="83"/>
      <c r="C3165" s="85"/>
      <c r="D3165" s="84"/>
      <c r="E3165" s="84"/>
      <c r="F3165" s="86"/>
      <c r="G3165" s="85"/>
      <c r="H3165" s="84"/>
    </row>
    <row r="3166" spans="1:9" ht="12.75">
      <c r="A3166" s="69" t="s">
        <v>0</v>
      </c>
      <c r="B3166" s="69" t="s">
        <v>1</v>
      </c>
      <c r="C3166" s="70" t="s">
        <v>380</v>
      </c>
      <c r="D3166" s="70" t="s">
        <v>218</v>
      </c>
      <c r="E3166" s="70" t="s">
        <v>73</v>
      </c>
      <c r="F3166" s="70" t="s">
        <v>5</v>
      </c>
      <c r="G3166" s="70" t="s">
        <v>6</v>
      </c>
      <c r="H3166" s="70" t="s">
        <v>7</v>
      </c>
      <c r="I3166" s="70" t="s">
        <v>8</v>
      </c>
    </row>
    <row r="3167" spans="1:9" ht="12.75">
      <c r="A3167" s="69" t="s">
        <v>381</v>
      </c>
      <c r="B3167" s="69" t="s">
        <v>339</v>
      </c>
      <c r="C3167" s="71">
        <f>(5/4)^1.65*E3167</f>
        <v>50.333252593675</v>
      </c>
      <c r="D3167" s="70">
        <v>48.47</v>
      </c>
      <c r="E3167" s="70">
        <v>34.83</v>
      </c>
      <c r="F3167" s="72">
        <f>-((D3167-C3167)/D3167)</f>
        <v>0.038441357410253764</v>
      </c>
      <c r="G3167" s="71">
        <f>C3167-D3167</f>
        <v>1.863252593675</v>
      </c>
      <c r="H3167" s="70">
        <v>430</v>
      </c>
      <c r="I3167" s="70" t="s">
        <v>376</v>
      </c>
    </row>
    <row r="3168" spans="2:9" ht="12.75">
      <c r="B3168" s="69" t="s">
        <v>340</v>
      </c>
      <c r="C3168" s="71">
        <f>(5/4)^1.65*E3168</f>
        <v>39.50936336236218</v>
      </c>
      <c r="D3168" s="70">
        <v>38.73</v>
      </c>
      <c r="E3168" s="70">
        <v>27.34</v>
      </c>
      <c r="F3168" s="72">
        <f>-((D3168-C3168)/D3168)</f>
        <v>0.020122988958486524</v>
      </c>
      <c r="G3168" s="71">
        <f>C3168-D3168</f>
        <v>0.779363362362183</v>
      </c>
      <c r="H3168" s="70">
        <v>430</v>
      </c>
      <c r="I3168" s="70" t="s">
        <v>376</v>
      </c>
    </row>
    <row r="3169" spans="2:9" ht="12.75">
      <c r="B3169" s="69" t="s">
        <v>341</v>
      </c>
      <c r="C3169" s="71">
        <f>(5/4)^1.65*E3169</f>
        <v>34.50927568007347</v>
      </c>
      <c r="D3169" s="70">
        <v>33.81</v>
      </c>
      <c r="E3169" s="70">
        <v>23.88</v>
      </c>
      <c r="F3169" s="72">
        <f>-((D3169-C3169)/D3169)</f>
        <v>0.020682510502025128</v>
      </c>
      <c r="G3169" s="71">
        <f>C3169-D3169</f>
        <v>0.6992756800734696</v>
      </c>
      <c r="H3169" s="70">
        <v>430</v>
      </c>
      <c r="I3169" s="70" t="s">
        <v>376</v>
      </c>
    </row>
    <row r="3170" spans="2:9" ht="12.75">
      <c r="B3170" s="69" t="s">
        <v>334</v>
      </c>
      <c r="C3170" s="71">
        <f>(5/4)^1.65*E3170</f>
        <v>33.006359151293054</v>
      </c>
      <c r="D3170" s="70">
        <v>32.52</v>
      </c>
      <c r="E3170" s="70">
        <v>22.84</v>
      </c>
      <c r="F3170" s="72">
        <f>-((D3170-C3170)/D3170)</f>
        <v>0.014955693459195915</v>
      </c>
      <c r="G3170" s="71">
        <f>C3170-D3170</f>
        <v>0.4863591512930512</v>
      </c>
      <c r="H3170" s="70">
        <v>430</v>
      </c>
      <c r="I3170" s="70" t="s">
        <v>376</v>
      </c>
    </row>
    <row r="3171" spans="2:9" ht="12.75">
      <c r="B3171" s="69" t="s">
        <v>316</v>
      </c>
      <c r="C3171" s="71">
        <f>(5/4)^1.65*E3171</f>
        <v>27.500482252587865</v>
      </c>
      <c r="D3171" s="70">
        <v>27.22</v>
      </c>
      <c r="E3171" s="70">
        <v>19.03</v>
      </c>
      <c r="F3171" s="72">
        <f>-((D3171-C3171)/D3171)</f>
        <v>0.01030427085186871</v>
      </c>
      <c r="G3171" s="71">
        <f>C3171-D3171</f>
        <v>0.2804822525878663</v>
      </c>
      <c r="H3171" s="70">
        <v>430</v>
      </c>
      <c r="I3171" s="70" t="s">
        <v>376</v>
      </c>
    </row>
    <row r="3172" spans="2:9" ht="12.75">
      <c r="B3172" s="69" t="s">
        <v>342</v>
      </c>
      <c r="C3172" s="71">
        <f>(5/4)^1.65*E3172</f>
        <v>43.743541659791624</v>
      </c>
      <c r="D3172" s="70">
        <v>42.1</v>
      </c>
      <c r="E3172" s="70">
        <v>30.27</v>
      </c>
      <c r="F3172" s="72">
        <f>-((D3172-C3172)/D3172)</f>
        <v>0.03903899429433784</v>
      </c>
      <c r="G3172" s="71">
        <f>C3172-D3172</f>
        <v>1.643541659791623</v>
      </c>
      <c r="H3172" s="70">
        <v>430</v>
      </c>
      <c r="I3172" s="70" t="s">
        <v>376</v>
      </c>
    </row>
    <row r="3173" spans="2:9" ht="12.75">
      <c r="B3173" s="69" t="s">
        <v>343</v>
      </c>
      <c r="C3173" s="71">
        <f>(5/4)^1.65*E3173</f>
        <v>49.59624544975384</v>
      </c>
      <c r="D3173" s="70">
        <v>49.55</v>
      </c>
      <c r="E3173" s="70">
        <v>34.32</v>
      </c>
      <c r="F3173" s="72">
        <f>-((D3173-C3173)/D3173)</f>
        <v>0.000933308774043194</v>
      </c>
      <c r="G3173" s="71">
        <f>C3173-D3173</f>
        <v>0.04624544975384026</v>
      </c>
      <c r="H3173" s="70">
        <v>430</v>
      </c>
      <c r="I3173" s="70" t="s">
        <v>376</v>
      </c>
    </row>
    <row r="3174" spans="2:9" ht="12.75">
      <c r="B3174" s="69" t="s">
        <v>344</v>
      </c>
      <c r="C3174" s="71">
        <f>(5/4)^1.65*E3174</f>
        <v>41.373557902868654</v>
      </c>
      <c r="D3174" s="70">
        <v>42.1</v>
      </c>
      <c r="E3174" s="70">
        <v>28.63</v>
      </c>
      <c r="F3174" s="72">
        <f>-((D3174-C3174)/D3174)</f>
        <v>-0.017255156701457174</v>
      </c>
      <c r="G3174" s="71">
        <f>C3174-D3174</f>
        <v>-0.726442097131347</v>
      </c>
      <c r="H3174" s="70">
        <v>430</v>
      </c>
      <c r="I3174" s="70" t="s">
        <v>376</v>
      </c>
    </row>
    <row r="3175" spans="2:9" ht="12.75">
      <c r="B3175" s="69" t="s">
        <v>345</v>
      </c>
      <c r="C3175" s="71">
        <f>(5/4)^1.65*E3175</f>
        <v>41.6625803122495</v>
      </c>
      <c r="D3175" s="70">
        <v>42.65</v>
      </c>
      <c r="E3175" s="70">
        <v>28.83</v>
      </c>
      <c r="F3175" s="72">
        <f>-((D3175-C3175)/D3175)</f>
        <v>-0.023151692561559103</v>
      </c>
      <c r="G3175" s="71">
        <f>C3175-D3175</f>
        <v>-0.9874196877504957</v>
      </c>
      <c r="H3175" s="70">
        <v>430</v>
      </c>
      <c r="I3175" s="70" t="s">
        <v>376</v>
      </c>
    </row>
    <row r="3176" spans="2:9" ht="12.75">
      <c r="B3176" s="69" t="s">
        <v>346</v>
      </c>
      <c r="C3176" s="71">
        <f>(5/4)^1.65*E3176</f>
        <v>37.37059753294389</v>
      </c>
      <c r="D3176" s="70">
        <v>38.87</v>
      </c>
      <c r="E3176" s="70">
        <v>25.86</v>
      </c>
      <c r="F3176" s="72">
        <f>-((D3176-C3176)/D3176)</f>
        <v>-0.03857479976990243</v>
      </c>
      <c r="G3176" s="71">
        <f>C3176-D3176</f>
        <v>-1.4994024670561075</v>
      </c>
      <c r="H3176" s="70">
        <v>430</v>
      </c>
      <c r="I3176" s="70" t="s">
        <v>376</v>
      </c>
    </row>
    <row r="3177" spans="2:9" ht="12.75">
      <c r="B3177" s="69" t="s">
        <v>335</v>
      </c>
      <c r="C3177" s="71">
        <f>(5/4)^1.65*E3177</f>
        <v>35.18847834211847</v>
      </c>
      <c r="D3177" s="70">
        <v>36.35</v>
      </c>
      <c r="E3177" s="70">
        <v>24.35</v>
      </c>
      <c r="F3177" s="72">
        <f>-((D3177-C3177)/D3177)</f>
        <v>-0.03195382827734606</v>
      </c>
      <c r="G3177" s="71">
        <f>C3177-D3177</f>
        <v>-1.1615216578815293</v>
      </c>
      <c r="H3177" s="70">
        <v>430</v>
      </c>
      <c r="I3177" s="70" t="s">
        <v>376</v>
      </c>
    </row>
    <row r="3178" spans="2:9" ht="12.75">
      <c r="B3178" s="69" t="s">
        <v>317</v>
      </c>
      <c r="C3178" s="71">
        <f>(5/4)^1.65*E3178</f>
        <v>25.535129868798087</v>
      </c>
      <c r="D3178" s="70">
        <v>25.76</v>
      </c>
      <c r="E3178" s="70">
        <v>17.67</v>
      </c>
      <c r="F3178" s="72">
        <f>-((D3178-C3178)/D3178)</f>
        <v>-0.008729430559080525</v>
      </c>
      <c r="G3178" s="71">
        <f>C3178-D3178</f>
        <v>-0.22487013120191435</v>
      </c>
      <c r="H3178" s="70">
        <v>430</v>
      </c>
      <c r="I3178" s="70" t="s">
        <v>376</v>
      </c>
    </row>
    <row r="3179" spans="2:9" ht="12.75">
      <c r="B3179" s="69" t="s">
        <v>318</v>
      </c>
      <c r="C3179" s="71">
        <f>(5/4)^1.65*E3179</f>
        <v>36.25786125682762</v>
      </c>
      <c r="D3179" s="70">
        <v>36.48</v>
      </c>
      <c r="E3179" s="70">
        <v>25.09</v>
      </c>
      <c r="F3179" s="72">
        <f>-((D3179-C3179)/D3179)</f>
        <v>-0.006089329582576201</v>
      </c>
      <c r="G3179" s="71">
        <f>C3179-D3179</f>
        <v>-0.2221387431723798</v>
      </c>
      <c r="H3179" s="70">
        <v>430</v>
      </c>
      <c r="I3179" s="70" t="s">
        <v>376</v>
      </c>
    </row>
    <row r="3180" spans="3:9" ht="12.75">
      <c r="C3180" s="71"/>
      <c r="D3180" s="70"/>
      <c r="E3180" s="70" t="s">
        <v>14</v>
      </c>
      <c r="F3180" s="72">
        <f>AVERAGE(F3167:F3179)</f>
        <v>0.0014403759075607369</v>
      </c>
      <c r="G3180" s="71">
        <f>AVERAGE(G3167:G3179)</f>
        <v>0.07513272041101998</v>
      </c>
      <c r="H3180" s="70"/>
      <c r="I3180" s="70"/>
    </row>
    <row r="3181" spans="2:9" ht="12.75">
      <c r="B3181" s="69"/>
      <c r="C3181" s="71"/>
      <c r="D3181" s="70"/>
      <c r="E3181" s="70"/>
      <c r="F3181" s="72"/>
      <c r="G3181" s="71"/>
      <c r="H3181" s="70"/>
      <c r="I3181" s="70"/>
    </row>
    <row r="3182" spans="1:9" ht="12.75">
      <c r="A3182" s="73" t="s">
        <v>0</v>
      </c>
      <c r="B3182" s="73" t="s">
        <v>1</v>
      </c>
      <c r="C3182" s="74" t="s">
        <v>219</v>
      </c>
      <c r="D3182" s="74" t="s">
        <v>218</v>
      </c>
      <c r="E3182" s="74" t="s">
        <v>73</v>
      </c>
      <c r="F3182" s="74" t="s">
        <v>5</v>
      </c>
      <c r="G3182" s="74" t="s">
        <v>6</v>
      </c>
      <c r="H3182" s="74" t="s">
        <v>7</v>
      </c>
      <c r="I3182" s="74" t="s">
        <v>8</v>
      </c>
    </row>
    <row r="3183" spans="1:11" ht="12.75">
      <c r="A3183" s="73" t="s">
        <v>381</v>
      </c>
      <c r="B3183" s="73" t="s">
        <v>339</v>
      </c>
      <c r="C3183" s="75">
        <f>(5/4)^2*E3183</f>
        <v>54.421875</v>
      </c>
      <c r="D3183" s="74">
        <v>48.47</v>
      </c>
      <c r="E3183" s="74">
        <v>34.83</v>
      </c>
      <c r="F3183" s="76">
        <f>-((D3183-C3183)/D3183)</f>
        <v>0.12279502785227979</v>
      </c>
      <c r="G3183" s="75">
        <f>C3183-D3183</f>
        <v>5.951875000000001</v>
      </c>
      <c r="H3183" s="74">
        <v>430</v>
      </c>
      <c r="I3183" s="74" t="s">
        <v>376</v>
      </c>
      <c r="K3183" s="19">
        <f>1.44*K3187</f>
        <v>51.12</v>
      </c>
    </row>
    <row r="3184" spans="1:11" ht="12.75">
      <c r="A3184" s="5"/>
      <c r="B3184" s="73" t="s">
        <v>340</v>
      </c>
      <c r="C3184" s="75">
        <f>(5/4)^2*E3184</f>
        <v>42.71875</v>
      </c>
      <c r="D3184" s="74">
        <v>38.73</v>
      </c>
      <c r="E3184" s="74">
        <v>27.34</v>
      </c>
      <c r="F3184" s="76">
        <f>-((D3184-C3184)/D3184)</f>
        <v>0.10298863929770213</v>
      </c>
      <c r="G3184" s="75">
        <f>C3184-D3184</f>
        <v>3.988750000000003</v>
      </c>
      <c r="H3184" s="74">
        <v>430</v>
      </c>
      <c r="I3184" s="74" t="s">
        <v>376</v>
      </c>
      <c r="K3184" s="19">
        <f>1.363*K3187</f>
        <v>48.3865</v>
      </c>
    </row>
    <row r="3185" spans="1:9" ht="12.75">
      <c r="A3185" s="5"/>
      <c r="B3185" s="73" t="s">
        <v>341</v>
      </c>
      <c r="C3185" s="75">
        <f>(5/4)^2*E3185</f>
        <v>37.3125</v>
      </c>
      <c r="D3185" s="74">
        <v>33.81</v>
      </c>
      <c r="E3185" s="74">
        <v>23.88</v>
      </c>
      <c r="F3185" s="76">
        <f>-((D3185-C3185)/D3185)</f>
        <v>0.10359361135758643</v>
      </c>
      <c r="G3185" s="75">
        <f>C3185-D3185</f>
        <v>3.5024999999999977</v>
      </c>
      <c r="H3185" s="74">
        <v>430</v>
      </c>
      <c r="I3185" s="74" t="s">
        <v>376</v>
      </c>
    </row>
    <row r="3186" spans="1:11" ht="12.75">
      <c r="A3186" s="5"/>
      <c r="B3186" s="73" t="s">
        <v>334</v>
      </c>
      <c r="C3186" s="75">
        <f>(5/4)^2*E3186</f>
        <v>35.6875</v>
      </c>
      <c r="D3186" s="74">
        <v>32.52</v>
      </c>
      <c r="E3186" s="74">
        <v>22.84</v>
      </c>
      <c r="F3186" s="76">
        <f>-((D3186-C3186)/D3186)</f>
        <v>0.09740159901599005</v>
      </c>
      <c r="G3186" s="75">
        <f>C3186-D3186</f>
        <v>3.167499999999997</v>
      </c>
      <c r="H3186" s="74">
        <v>430</v>
      </c>
      <c r="I3186" s="74" t="s">
        <v>376</v>
      </c>
      <c r="J3186">
        <v>18.48</v>
      </c>
      <c r="K3186">
        <v>1.1</v>
      </c>
    </row>
    <row r="3187" spans="1:11" ht="12.75">
      <c r="A3187" s="5"/>
      <c r="B3187" s="73" t="s">
        <v>316</v>
      </c>
      <c r="C3187" s="75">
        <f>(5/4)^2*E3187</f>
        <v>29.734375</v>
      </c>
      <c r="D3187" s="74">
        <v>27.22</v>
      </c>
      <c r="E3187" s="74">
        <v>19.03</v>
      </c>
      <c r="F3187" s="76">
        <f>-((D3187-C3187)/D3187)</f>
        <v>0.09237233651726676</v>
      </c>
      <c r="G3187" s="75">
        <f>C3187-D3187</f>
        <v>2.514375000000001</v>
      </c>
      <c r="H3187" s="74">
        <v>430</v>
      </c>
      <c r="I3187" s="74" t="s">
        <v>376</v>
      </c>
      <c r="J3187">
        <v>17.91</v>
      </c>
      <c r="K3187">
        <v>35.5</v>
      </c>
    </row>
    <row r="3188" spans="1:12" ht="12.75">
      <c r="A3188" s="5"/>
      <c r="B3188" s="73" t="s">
        <v>342</v>
      </c>
      <c r="C3188" s="75">
        <f>(5/4)^2*E3188</f>
        <v>47.296875</v>
      </c>
      <c r="D3188" s="74">
        <v>42.1</v>
      </c>
      <c r="E3188" s="74">
        <v>30.27</v>
      </c>
      <c r="F3188" s="76">
        <f>-((D3188-C3188)/D3188)</f>
        <v>0.12344121140142514</v>
      </c>
      <c r="G3188" s="75">
        <f>C3188-D3188</f>
        <v>5.196874999999999</v>
      </c>
      <c r="H3188" s="74">
        <v>430</v>
      </c>
      <c r="I3188" s="74" t="s">
        <v>376</v>
      </c>
      <c r="J3188" s="19">
        <f>J3186-J3187</f>
        <v>0.5700000000000003</v>
      </c>
      <c r="K3188" s="19">
        <f>K3187-K3186</f>
        <v>34.4</v>
      </c>
      <c r="L3188" s="19">
        <f>J3188/K3188</f>
        <v>0.016569767441860474</v>
      </c>
    </row>
    <row r="3189" spans="1:12" ht="12.75">
      <c r="A3189" s="5"/>
      <c r="B3189" s="73" t="s">
        <v>343</v>
      </c>
      <c r="C3189" s="75">
        <f>(5/4)^2*E3189</f>
        <v>53.625</v>
      </c>
      <c r="D3189" s="74">
        <v>49.55</v>
      </c>
      <c r="E3189" s="74">
        <v>34.32</v>
      </c>
      <c r="F3189" s="76">
        <f>-((D3189-C3189)/D3189)</f>
        <v>0.08224016145307776</v>
      </c>
      <c r="G3189" s="75">
        <f>C3189-D3189</f>
        <v>4.075000000000003</v>
      </c>
      <c r="H3189" s="74">
        <v>430</v>
      </c>
      <c r="I3189" s="74" t="s">
        <v>376</v>
      </c>
      <c r="J3189" s="19">
        <f>J3187/5</f>
        <v>3.582</v>
      </c>
      <c r="L3189" s="19">
        <f>L3188/5</f>
        <v>0.003313953488372095</v>
      </c>
    </row>
    <row r="3190" spans="1:9" ht="12.75">
      <c r="A3190" s="5"/>
      <c r="B3190" s="73" t="s">
        <v>344</v>
      </c>
      <c r="C3190" s="75">
        <f>(5/4)^2*E3190</f>
        <v>44.734375</v>
      </c>
      <c r="D3190" s="74">
        <v>42.1</v>
      </c>
      <c r="E3190" s="74">
        <v>28.63</v>
      </c>
      <c r="F3190" s="76">
        <f>-((D3190-C3190)/D3190)</f>
        <v>0.06257422802850353</v>
      </c>
      <c r="G3190" s="75">
        <f>C3190-D3190</f>
        <v>2.6343749999999986</v>
      </c>
      <c r="H3190" s="74">
        <v>430</v>
      </c>
      <c r="I3190" s="74" t="s">
        <v>376</v>
      </c>
    </row>
    <row r="3191" spans="1:9" ht="12.75">
      <c r="A3191" s="5"/>
      <c r="B3191" s="73" t="s">
        <v>345</v>
      </c>
      <c r="C3191" s="75">
        <f>(5/4)^2*E3191</f>
        <v>45.046875</v>
      </c>
      <c r="D3191" s="74">
        <v>42.65</v>
      </c>
      <c r="E3191" s="74">
        <v>28.83</v>
      </c>
      <c r="F3191" s="76">
        <f>-((D3191-C3191)/D3191)</f>
        <v>0.056198710433763226</v>
      </c>
      <c r="G3191" s="75">
        <f>C3191-D3191</f>
        <v>2.3968750000000014</v>
      </c>
      <c r="H3191" s="74">
        <v>430</v>
      </c>
      <c r="I3191" s="74" t="s">
        <v>376</v>
      </c>
    </row>
    <row r="3192" spans="1:11" ht="12.75">
      <c r="A3192" s="5"/>
      <c r="B3192" s="73" t="s">
        <v>346</v>
      </c>
      <c r="C3192" s="75">
        <f>(5/4)^2*E3192</f>
        <v>40.40625</v>
      </c>
      <c r="D3192" s="74">
        <v>38.87</v>
      </c>
      <c r="E3192" s="74">
        <v>25.86</v>
      </c>
      <c r="F3192" s="76">
        <f>-((D3192-C3192)/D3192)</f>
        <v>0.03952276820169803</v>
      </c>
      <c r="G3192" s="75">
        <f>C3192-D3192</f>
        <v>1.5362500000000026</v>
      </c>
      <c r="H3192" s="74">
        <v>430</v>
      </c>
      <c r="I3192" s="74" t="s">
        <v>376</v>
      </c>
      <c r="J3192">
        <v>22.17</v>
      </c>
      <c r="K3192">
        <v>1.3</v>
      </c>
    </row>
    <row r="3193" spans="1:11" ht="12.75">
      <c r="A3193" s="5"/>
      <c r="B3193" s="73" t="s">
        <v>335</v>
      </c>
      <c r="C3193" s="75">
        <f>(5/4)^2*E3193</f>
        <v>38.046875</v>
      </c>
      <c r="D3193" s="74">
        <v>36.35</v>
      </c>
      <c r="E3193" s="74">
        <v>24.35</v>
      </c>
      <c r="F3193" s="76">
        <f>-((D3193-C3193)/D3193)</f>
        <v>0.04668156808803297</v>
      </c>
      <c r="G3193" s="75">
        <f>C3193-D3193</f>
        <v>1.6968749999999986</v>
      </c>
      <c r="H3193" s="74">
        <v>430</v>
      </c>
      <c r="I3193" s="74" t="s">
        <v>376</v>
      </c>
      <c r="J3193">
        <v>21.27</v>
      </c>
      <c r="K3193">
        <v>46.9</v>
      </c>
    </row>
    <row r="3194" spans="1:12" ht="12.75">
      <c r="A3194" s="5"/>
      <c r="B3194" s="73" t="s">
        <v>317</v>
      </c>
      <c r="C3194" s="75">
        <f>(5/4)^2*E3194</f>
        <v>27.609375000000004</v>
      </c>
      <c r="D3194" s="74">
        <v>25.76</v>
      </c>
      <c r="E3194" s="74">
        <v>17.67</v>
      </c>
      <c r="F3194" s="76">
        <f>-((D3194-C3194)/D3194)</f>
        <v>0.07179250776397522</v>
      </c>
      <c r="G3194" s="75">
        <f>C3194-D3194</f>
        <v>1.849375000000002</v>
      </c>
      <c r="H3194" s="74">
        <v>430</v>
      </c>
      <c r="I3194" s="74" t="s">
        <v>376</v>
      </c>
      <c r="J3194" s="19">
        <f>J3192-J3193</f>
        <v>0.9000000000000021</v>
      </c>
      <c r="K3194" s="19">
        <f>K3193-K3192</f>
        <v>45.6</v>
      </c>
      <c r="L3194" s="19">
        <f>J3194/K3194</f>
        <v>0.019736842105263205</v>
      </c>
    </row>
    <row r="3195" spans="1:12" ht="12.75">
      <c r="A3195" s="5"/>
      <c r="B3195" s="73" t="s">
        <v>318</v>
      </c>
      <c r="C3195" s="75">
        <f>(5/4)^2*E3195</f>
        <v>39.203125</v>
      </c>
      <c r="D3195" s="74">
        <v>36.48</v>
      </c>
      <c r="E3195" s="74">
        <v>25.09</v>
      </c>
      <c r="F3195" s="76">
        <f>-((D3195-C3195)/D3195)</f>
        <v>0.07464706688596501</v>
      </c>
      <c r="G3195" s="75">
        <f>C3195-D3195</f>
        <v>2.723125000000003</v>
      </c>
      <c r="H3195" s="74">
        <v>430</v>
      </c>
      <c r="I3195" s="74" t="s">
        <v>376</v>
      </c>
      <c r="J3195" s="19">
        <f>J3193/6</f>
        <v>3.545</v>
      </c>
      <c r="L3195" s="19">
        <f>L3194/5</f>
        <v>0.003947368421052641</v>
      </c>
    </row>
    <row r="3196" spans="1:9" ht="12.75">
      <c r="A3196" s="5"/>
      <c r="B3196" s="5"/>
      <c r="C3196" s="75"/>
      <c r="D3196" s="74"/>
      <c r="E3196" s="74" t="s">
        <v>14</v>
      </c>
      <c r="F3196" s="76">
        <f>AVERAGE(F3183:F3195)</f>
        <v>0.08278841817671277</v>
      </c>
      <c r="G3196" s="75">
        <f>AVERAGE(G3183:G3195)</f>
        <v>3.1718269230769236</v>
      </c>
      <c r="H3196" s="74"/>
      <c r="I3196" s="74"/>
    </row>
    <row r="3197" spans="5:12" ht="12.75">
      <c r="E3197" s="70"/>
      <c r="F3197" s="72"/>
      <c r="G3197" s="71"/>
      <c r="L3197" s="19">
        <f>L3194-L3188</f>
        <v>0.003167074663402731</v>
      </c>
    </row>
    <row r="3198" spans="1:9" ht="12.75">
      <c r="A3198" s="79" t="s">
        <v>0</v>
      </c>
      <c r="B3198" s="79" t="s">
        <v>1</v>
      </c>
      <c r="C3198" s="80" t="s">
        <v>322</v>
      </c>
      <c r="D3198" s="80" t="s">
        <v>194</v>
      </c>
      <c r="E3198" s="80" t="s">
        <v>218</v>
      </c>
      <c r="F3198" s="80" t="s">
        <v>5</v>
      </c>
      <c r="G3198" s="80" t="s">
        <v>6</v>
      </c>
      <c r="H3198" s="80" t="s">
        <v>7</v>
      </c>
      <c r="I3198" s="80" t="s">
        <v>8</v>
      </c>
    </row>
    <row r="3199" spans="1:11" ht="12.75">
      <c r="A3199" s="79" t="s">
        <v>381</v>
      </c>
      <c r="B3199" s="79" t="s">
        <v>340</v>
      </c>
      <c r="C3199" s="81">
        <f>(6/5)^1.67*E3199</f>
        <v>52.514614031808726</v>
      </c>
      <c r="D3199" s="80">
        <v>50.93</v>
      </c>
      <c r="E3199" s="80">
        <v>38.73</v>
      </c>
      <c r="F3199" s="82">
        <f>-((D3199-C3199)/D3199)</f>
        <v>0.031113568266419134</v>
      </c>
      <c r="G3199" s="81">
        <f>C3199-D3199</f>
        <v>1.5846140318087265</v>
      </c>
      <c r="H3199" s="80">
        <v>430</v>
      </c>
      <c r="I3199" s="80" t="s">
        <v>376</v>
      </c>
      <c r="K3199" s="19">
        <f>K3187*1.363</f>
        <v>48.3865</v>
      </c>
    </row>
    <row r="3200" spans="2:11" ht="12.75">
      <c r="B3200" s="79" t="s">
        <v>341</v>
      </c>
      <c r="C3200" s="81">
        <f>(6/5)^1.67*E3200</f>
        <v>45.8435089185503</v>
      </c>
      <c r="D3200" s="80">
        <v>44.71</v>
      </c>
      <c r="E3200" s="80">
        <v>33.81</v>
      </c>
      <c r="F3200" s="82">
        <f>-((D3200-C3200)/D3200)</f>
        <v>0.025352469661156295</v>
      </c>
      <c r="G3200" s="81">
        <f>C3200-D3200</f>
        <v>1.133508918550298</v>
      </c>
      <c r="H3200" s="80">
        <v>430</v>
      </c>
      <c r="I3200" s="80" t="s">
        <v>376</v>
      </c>
      <c r="K3200" s="19">
        <f>(J3193/J3187)^1.7</f>
        <v>1.3394985162831081</v>
      </c>
    </row>
    <row r="3201" spans="2:11" ht="12.75">
      <c r="B3201" s="79" t="s">
        <v>334</v>
      </c>
      <c r="C3201" s="81">
        <f>(6/5)^1.67*E3201</f>
        <v>44.094377699830105</v>
      </c>
      <c r="D3201" s="80">
        <v>42.93</v>
      </c>
      <c r="E3201" s="80">
        <v>32.52</v>
      </c>
      <c r="F3201" s="82">
        <f>-((D3201-C3201)/D3201)</f>
        <v>0.027122704398558233</v>
      </c>
      <c r="G3201" s="81">
        <f>C3201-D3201</f>
        <v>1.164377699830105</v>
      </c>
      <c r="H3201" s="80">
        <v>430</v>
      </c>
      <c r="I3201" s="80" t="s">
        <v>376</v>
      </c>
      <c r="K3201" s="19">
        <f>K3187*K3200</f>
        <v>47.55219732805034</v>
      </c>
    </row>
    <row r="3202" spans="2:9" ht="12.75">
      <c r="B3202" s="79" t="s">
        <v>316</v>
      </c>
      <c r="C3202" s="81">
        <f>(6/5)^1.67*E3202</f>
        <v>36.908024630669594</v>
      </c>
      <c r="D3202" s="80">
        <v>36.19</v>
      </c>
      <c r="E3202" s="80">
        <v>27.22</v>
      </c>
      <c r="F3202" s="82">
        <f>-((D3202-C3202)/D3202)</f>
        <v>0.019840415326598408</v>
      </c>
      <c r="G3202" s="81">
        <f>C3202-D3202</f>
        <v>0.7180246306695963</v>
      </c>
      <c r="H3202" s="80">
        <v>430</v>
      </c>
      <c r="I3202" s="80" t="s">
        <v>376</v>
      </c>
    </row>
    <row r="3203" spans="2:9" ht="12.75">
      <c r="B3203" s="79" t="s">
        <v>312</v>
      </c>
      <c r="C3203" s="81">
        <f>(6/5)^1.67*E3203</f>
        <v>31.389447839823703</v>
      </c>
      <c r="D3203" s="80">
        <v>29.97</v>
      </c>
      <c r="E3203" s="80">
        <v>23.15</v>
      </c>
      <c r="F3203" s="82">
        <f>-((D3203-C3203)/D3203)</f>
        <v>0.047362290284407874</v>
      </c>
      <c r="G3203" s="81">
        <f>C3203-D3203</f>
        <v>1.4194478398237038</v>
      </c>
      <c r="H3203" s="80">
        <v>430</v>
      </c>
      <c r="I3203" s="80" t="s">
        <v>376</v>
      </c>
    </row>
    <row r="3204" spans="2:9" ht="12.75">
      <c r="B3204" s="79" t="s">
        <v>300</v>
      </c>
      <c r="C3204" s="81">
        <f>(6/5)^1.67*E3204</f>
        <v>27.375937446481235</v>
      </c>
      <c r="D3204" s="80">
        <v>26.99</v>
      </c>
      <c r="E3204" s="80">
        <v>20.19</v>
      </c>
      <c r="F3204" s="82">
        <f>-((D3204-C3204)/D3204)</f>
        <v>0.01429927552727811</v>
      </c>
      <c r="G3204" s="81">
        <f>C3204-D3204</f>
        <v>0.3859374464812362</v>
      </c>
      <c r="H3204" s="80">
        <v>430</v>
      </c>
      <c r="I3204" s="80" t="s">
        <v>376</v>
      </c>
    </row>
    <row r="3205" spans="2:9" ht="12.75">
      <c r="B3205" s="79" t="s">
        <v>335</v>
      </c>
      <c r="C3205" s="81">
        <f>(6/5)^1.67*E3205</f>
        <v>49.28753472905363</v>
      </c>
      <c r="D3205" s="80">
        <v>51.08</v>
      </c>
      <c r="E3205" s="80">
        <v>36.35</v>
      </c>
      <c r="F3205" s="82">
        <f>-((D3205-C3205)/D3205)</f>
        <v>-0.03509133263403222</v>
      </c>
      <c r="G3205" s="81">
        <f>C3205-D3205</f>
        <v>-1.7924652709463658</v>
      </c>
      <c r="H3205" s="80">
        <v>430</v>
      </c>
      <c r="I3205" s="80" t="s">
        <v>376</v>
      </c>
    </row>
    <row r="3206" spans="2:9" ht="12.75">
      <c r="B3206" s="79" t="s">
        <v>317</v>
      </c>
      <c r="C3206" s="81">
        <f>(6/5)^1.67*E3206</f>
        <v>34.9283877474669</v>
      </c>
      <c r="D3206" s="80">
        <v>35.19</v>
      </c>
      <c r="E3206" s="80">
        <v>25.76</v>
      </c>
      <c r="F3206" s="82">
        <f>-((D3206-C3206)/D3206)</f>
        <v>-0.007434278276018697</v>
      </c>
      <c r="G3206" s="81">
        <f>C3206-D3206</f>
        <v>-0.26161225253309794</v>
      </c>
      <c r="H3206" s="80">
        <v>430</v>
      </c>
      <c r="I3206" s="80" t="s">
        <v>376</v>
      </c>
    </row>
    <row r="3207" spans="2:9" ht="12.75">
      <c r="B3207" s="79" t="s">
        <v>283</v>
      </c>
      <c r="C3207" s="81">
        <f>(6/5)^1.67*E3207</f>
        <v>32.66400857284462</v>
      </c>
      <c r="D3207" s="80">
        <v>33.55</v>
      </c>
      <c r="E3207" s="80">
        <v>24.09</v>
      </c>
      <c r="F3207" s="82">
        <f>-((D3207-C3207)/D3207)</f>
        <v>-0.02640809022817809</v>
      </c>
      <c r="G3207" s="81">
        <f>C3207-D3207</f>
        <v>-0.8859914271553748</v>
      </c>
      <c r="H3207" s="80">
        <v>430</v>
      </c>
      <c r="I3207" s="80" t="s">
        <v>376</v>
      </c>
    </row>
    <row r="3208" spans="2:12" ht="12.75">
      <c r="B3208" s="79" t="s">
        <v>318</v>
      </c>
      <c r="C3208" s="81">
        <f>(6/5)^1.67*E3208</f>
        <v>49.46380376659908</v>
      </c>
      <c r="D3208" s="80">
        <v>49.19</v>
      </c>
      <c r="E3208" s="80">
        <v>36.48</v>
      </c>
      <c r="F3208" s="82">
        <f>-((D3208-C3208)/D3208)</f>
        <v>0.005566248558631434</v>
      </c>
      <c r="G3208" s="81">
        <f>C3208-D3208</f>
        <v>0.27380376659908023</v>
      </c>
      <c r="H3208" s="80">
        <v>430</v>
      </c>
      <c r="I3208" s="80" t="s">
        <v>376</v>
      </c>
      <c r="K3208">
        <v>6889</v>
      </c>
      <c r="L3208">
        <v>34.4</v>
      </c>
    </row>
    <row r="3209" spans="2:12" ht="12.75">
      <c r="B3209" s="79" t="s">
        <v>319</v>
      </c>
      <c r="C3209" s="81">
        <f>(6/5)^1.67*E3209</f>
        <v>32.81315929692154</v>
      </c>
      <c r="D3209" s="80">
        <v>33.44</v>
      </c>
      <c r="E3209" s="80">
        <v>24.2</v>
      </c>
      <c r="F3209" s="82">
        <f>-((D3209-C3209)/D3209)</f>
        <v>-0.01874523633607827</v>
      </c>
      <c r="G3209" s="81">
        <f>C3209-D3209</f>
        <v>-0.6268407030784573</v>
      </c>
      <c r="H3209" s="80">
        <v>430</v>
      </c>
      <c r="I3209" s="80" t="s">
        <v>376</v>
      </c>
      <c r="K3209">
        <v>6077</v>
      </c>
      <c r="L3209">
        <v>45.6</v>
      </c>
    </row>
    <row r="3210" spans="2:12" ht="12.75">
      <c r="B3210" s="79" t="s">
        <v>320</v>
      </c>
      <c r="C3210" s="81">
        <f>(6/5)^1.67*E3210</f>
        <v>33.03010580466978</v>
      </c>
      <c r="D3210" s="80">
        <v>33.36</v>
      </c>
      <c r="E3210" s="80">
        <v>24.36</v>
      </c>
      <c r="F3210" s="82">
        <f>-((D3210-C3210)/D3210)</f>
        <v>-0.009888914728124072</v>
      </c>
      <c r="G3210" s="81">
        <f>C3210-D3210</f>
        <v>-0.329894195330219</v>
      </c>
      <c r="H3210" s="80">
        <v>430</v>
      </c>
      <c r="I3210" s="80" t="s">
        <v>376</v>
      </c>
      <c r="K3210" s="19">
        <f>(K3208/K3209)^2</f>
        <v>1.2850910436356378</v>
      </c>
      <c r="L3210" s="19">
        <f>K3210*L3208+1.3</f>
        <v>45.50713190106593</v>
      </c>
    </row>
    <row r="3211" spans="2:9" ht="12.75">
      <c r="B3211" s="79" t="s">
        <v>284</v>
      </c>
      <c r="C3211" s="81">
        <f>(6/5)^1.67*E3211</f>
        <v>30.887759040655897</v>
      </c>
      <c r="D3211" s="80">
        <v>31.2</v>
      </c>
      <c r="E3211" s="80">
        <v>22.78</v>
      </c>
      <c r="F3211" s="82">
        <f>-((D3211-C3211)/D3211)</f>
        <v>-0.010007723055900706</v>
      </c>
      <c r="G3211" s="81">
        <f>C3211-D3211</f>
        <v>-0.312240959344102</v>
      </c>
      <c r="H3211" s="80">
        <v>430</v>
      </c>
      <c r="I3211" s="80" t="s">
        <v>376</v>
      </c>
    </row>
    <row r="3212" spans="2:9" ht="12.75">
      <c r="B3212" s="79" t="s">
        <v>285</v>
      </c>
      <c r="C3212" s="81">
        <f>(6/5)^1.67*E3212</f>
        <v>36.88090631720107</v>
      </c>
      <c r="D3212" s="80">
        <v>37.76</v>
      </c>
      <c r="E3212" s="80">
        <v>27.2</v>
      </c>
      <c r="F3212" s="82">
        <f>-((D3212-C3212)/D3212)</f>
        <v>-0.023281082701242885</v>
      </c>
      <c r="G3212" s="81">
        <f>C3212-D3212</f>
        <v>-0.8790936827989313</v>
      </c>
      <c r="H3212" s="80">
        <v>430</v>
      </c>
      <c r="I3212" s="80" t="s">
        <v>376</v>
      </c>
    </row>
    <row r="3213" spans="2:9" ht="12.75">
      <c r="B3213" s="79" t="s">
        <v>286</v>
      </c>
      <c r="C3213" s="81">
        <f>(6/5)^1.67*E3213</f>
        <v>26.792893706907837</v>
      </c>
      <c r="D3213" s="80">
        <v>27.61</v>
      </c>
      <c r="E3213" s="80">
        <v>19.76</v>
      </c>
      <c r="F3213" s="82">
        <f>-((D3213-C3213)/D3213)</f>
        <v>-0.029594577801237337</v>
      </c>
      <c r="G3213" s="81">
        <f>C3213-D3213</f>
        <v>-0.8171062930921629</v>
      </c>
      <c r="H3213" s="80">
        <v>430</v>
      </c>
      <c r="I3213" s="80" t="s">
        <v>376</v>
      </c>
    </row>
    <row r="3214" spans="2:9" ht="12.75">
      <c r="B3214" s="79" t="s">
        <v>308</v>
      </c>
      <c r="C3214" s="81">
        <f>(6/5)^1.67*E3214</f>
        <v>31.809781698585923</v>
      </c>
      <c r="D3214" s="80">
        <v>30.25</v>
      </c>
      <c r="E3214" s="80">
        <v>23.46</v>
      </c>
      <c r="F3214" s="82">
        <f>-((D3214-C3214)/D3214)</f>
        <v>0.051563031358212316</v>
      </c>
      <c r="G3214" s="81">
        <f>C3214-D3214</f>
        <v>1.5597816985859225</v>
      </c>
      <c r="H3214" s="80">
        <v>430</v>
      </c>
      <c r="I3214" s="80" t="s">
        <v>376</v>
      </c>
    </row>
    <row r="3215" spans="2:9" ht="12.75">
      <c r="B3215" s="79" t="s">
        <v>287</v>
      </c>
      <c r="C3215" s="81">
        <f>(6/5)^1.67*E3215</f>
        <v>26.657302139565186</v>
      </c>
      <c r="D3215" s="80">
        <v>27.79</v>
      </c>
      <c r="E3215" s="80">
        <v>19.66</v>
      </c>
      <c r="F3215" s="82">
        <f>-((D3215-C3215)/D3215)</f>
        <v>-0.04075918893252298</v>
      </c>
      <c r="G3215" s="81">
        <f>C3215-D3215</f>
        <v>-1.1326978604348135</v>
      </c>
      <c r="H3215" s="80">
        <v>430</v>
      </c>
      <c r="I3215" s="80" t="s">
        <v>376</v>
      </c>
    </row>
    <row r="3216" spans="2:9" ht="12.75">
      <c r="B3216" s="79"/>
      <c r="C3216" s="81"/>
      <c r="D3216" s="80"/>
      <c r="E3216" s="80" t="s">
        <v>14</v>
      </c>
      <c r="F3216" s="82">
        <f>AVERAGE(F3199:F3215)</f>
        <v>0.0012358575698780318</v>
      </c>
      <c r="G3216" s="81">
        <f>AVERAGE(G3199:G3215)</f>
        <v>0.07067961103736142</v>
      </c>
      <c r="H3216" s="80"/>
      <c r="I3216" s="80"/>
    </row>
    <row r="3217" spans="2:9" ht="12.75">
      <c r="B3217" s="79"/>
      <c r="C3217" s="81"/>
      <c r="D3217" s="80"/>
      <c r="E3217" s="80"/>
      <c r="F3217" s="82"/>
      <c r="G3217" s="81"/>
      <c r="H3217" s="80"/>
      <c r="I3217" s="80"/>
    </row>
    <row r="3218" spans="1:9" ht="12.75">
      <c r="A3218" s="83" t="s">
        <v>0</v>
      </c>
      <c r="B3218" s="83" t="s">
        <v>1</v>
      </c>
      <c r="C3218" s="84" t="s">
        <v>247</v>
      </c>
      <c r="D3218" s="84" t="s">
        <v>194</v>
      </c>
      <c r="E3218" s="84" t="s">
        <v>218</v>
      </c>
      <c r="F3218" s="84" t="s">
        <v>5</v>
      </c>
      <c r="G3218" s="84" t="s">
        <v>6</v>
      </c>
      <c r="H3218" s="84" t="s">
        <v>7</v>
      </c>
      <c r="I3218" s="84" t="s">
        <v>8</v>
      </c>
    </row>
    <row r="3219" spans="1:9" ht="12.75">
      <c r="A3219" s="83" t="s">
        <v>381</v>
      </c>
      <c r="B3219" s="83" t="s">
        <v>340</v>
      </c>
      <c r="C3219" s="85">
        <f>(6/5)^2*E3219</f>
        <v>55.77119999999999</v>
      </c>
      <c r="D3219" s="84">
        <v>50.93</v>
      </c>
      <c r="E3219" s="84">
        <v>38.73</v>
      </c>
      <c r="F3219" s="86">
        <f>-((D3219-C3219)/D3219)</f>
        <v>0.09505595915963073</v>
      </c>
      <c r="G3219" s="85">
        <f>C3219-D3219</f>
        <v>4.8411999999999935</v>
      </c>
      <c r="H3219" s="84">
        <v>430</v>
      </c>
      <c r="I3219" s="84" t="s">
        <v>376</v>
      </c>
    </row>
    <row r="3220" spans="1:9" ht="12.75">
      <c r="A3220" s="5"/>
      <c r="B3220" s="83" t="s">
        <v>341</v>
      </c>
      <c r="C3220" s="85">
        <f>(6/5)^2*E3220</f>
        <v>48.6864</v>
      </c>
      <c r="D3220" s="84">
        <v>44.71</v>
      </c>
      <c r="E3220" s="84">
        <v>33.81</v>
      </c>
      <c r="F3220" s="86">
        <f>-((D3220-C3220)/D3220)</f>
        <v>0.0889375978528293</v>
      </c>
      <c r="G3220" s="85">
        <f>C3220-D3220</f>
        <v>3.976399999999998</v>
      </c>
      <c r="H3220" s="84">
        <v>430</v>
      </c>
      <c r="I3220" s="84" t="s">
        <v>376</v>
      </c>
    </row>
    <row r="3221" spans="1:9" ht="12.75">
      <c r="A3221" s="5"/>
      <c r="B3221" s="83" t="s">
        <v>334</v>
      </c>
      <c r="C3221" s="85">
        <f>(6/5)^2*E3221</f>
        <v>46.8288</v>
      </c>
      <c r="D3221" s="84">
        <v>42.93</v>
      </c>
      <c r="E3221" s="84">
        <v>32.52</v>
      </c>
      <c r="F3221" s="86">
        <f>-((D3221-C3221)/D3221)</f>
        <v>0.09081761006289311</v>
      </c>
      <c r="G3221" s="85">
        <f>C3221-D3221</f>
        <v>3.8988000000000014</v>
      </c>
      <c r="H3221" s="84">
        <v>430</v>
      </c>
      <c r="I3221" s="84" t="s">
        <v>376</v>
      </c>
    </row>
    <row r="3222" spans="1:9" ht="12.75">
      <c r="A3222" s="5"/>
      <c r="B3222" s="83" t="s">
        <v>316</v>
      </c>
      <c r="C3222" s="85">
        <f>(6/5)^2*E3222</f>
        <v>39.196799999999996</v>
      </c>
      <c r="D3222" s="84">
        <v>36.19</v>
      </c>
      <c r="E3222" s="84">
        <v>27.22</v>
      </c>
      <c r="F3222" s="86">
        <f>-((D3222-C3222)/D3222)</f>
        <v>0.08308372478585241</v>
      </c>
      <c r="G3222" s="85">
        <f>C3222-D3222</f>
        <v>3.0067999999999984</v>
      </c>
      <c r="H3222" s="84">
        <v>430</v>
      </c>
      <c r="I3222" s="84" t="s">
        <v>376</v>
      </c>
    </row>
    <row r="3223" spans="1:9" ht="12.75">
      <c r="A3223" s="5"/>
      <c r="B3223" s="83" t="s">
        <v>312</v>
      </c>
      <c r="C3223" s="85">
        <f>(6/5)^2*E3223</f>
        <v>33.336</v>
      </c>
      <c r="D3223" s="84">
        <v>29.97</v>
      </c>
      <c r="E3223" s="84">
        <v>23.15</v>
      </c>
      <c r="F3223" s="86">
        <f>-((D3223-C3223)/D3223)</f>
        <v>0.1123123123123123</v>
      </c>
      <c r="G3223" s="85">
        <f>C3223-D3223</f>
        <v>3.3659999999999997</v>
      </c>
      <c r="H3223" s="84">
        <v>430</v>
      </c>
      <c r="I3223" s="84" t="s">
        <v>376</v>
      </c>
    </row>
    <row r="3224" spans="1:9" ht="12.75">
      <c r="A3224" s="5"/>
      <c r="B3224" s="83" t="s">
        <v>300</v>
      </c>
      <c r="C3224" s="85">
        <f>(6/5)^2*E3224</f>
        <v>29.0736</v>
      </c>
      <c r="D3224" s="84">
        <v>26.99</v>
      </c>
      <c r="E3224" s="84">
        <v>20.19</v>
      </c>
      <c r="F3224" s="86">
        <f>-((D3224-C3224)/D3224)</f>
        <v>0.07719896257873289</v>
      </c>
      <c r="G3224" s="85">
        <f>C3224-D3224</f>
        <v>2.0836000000000006</v>
      </c>
      <c r="H3224" s="84">
        <v>430</v>
      </c>
      <c r="I3224" s="84" t="s">
        <v>376</v>
      </c>
    </row>
    <row r="3225" spans="1:9" ht="12.75">
      <c r="A3225" s="5"/>
      <c r="B3225" s="83" t="s">
        <v>335</v>
      </c>
      <c r="C3225" s="85">
        <f>(6/5)^2*E3225</f>
        <v>52.344</v>
      </c>
      <c r="D3225" s="84">
        <v>51.08</v>
      </c>
      <c r="E3225" s="84">
        <v>36.35</v>
      </c>
      <c r="F3225" s="86">
        <f>-((D3225-C3225)/D3225)</f>
        <v>0.02474549725920131</v>
      </c>
      <c r="G3225" s="85">
        <f>C3225-D3225</f>
        <v>1.264000000000003</v>
      </c>
      <c r="H3225" s="84">
        <v>430</v>
      </c>
      <c r="I3225" s="84" t="s">
        <v>376</v>
      </c>
    </row>
    <row r="3226" spans="1:9" ht="12.75">
      <c r="A3226" s="5"/>
      <c r="B3226" s="83" t="s">
        <v>317</v>
      </c>
      <c r="C3226" s="85">
        <f>(6/5)^2*E3226</f>
        <v>37.0944</v>
      </c>
      <c r="D3226" s="84">
        <v>35.19</v>
      </c>
      <c r="E3226" s="84">
        <v>25.76</v>
      </c>
      <c r="F3226" s="86">
        <f>-((D3226-C3226)/D3226)</f>
        <v>0.054117647058823604</v>
      </c>
      <c r="G3226" s="85">
        <f>C3226-D3226</f>
        <v>1.9044000000000025</v>
      </c>
      <c r="H3226" s="84">
        <v>430</v>
      </c>
      <c r="I3226" s="84" t="s">
        <v>376</v>
      </c>
    </row>
    <row r="3227" spans="1:9" ht="12.75">
      <c r="A3227" s="5"/>
      <c r="B3227" s="83" t="s">
        <v>283</v>
      </c>
      <c r="C3227" s="85">
        <f>(6/5)^2*E3227</f>
        <v>34.6896</v>
      </c>
      <c r="D3227" s="84">
        <v>33.55</v>
      </c>
      <c r="E3227" s="84">
        <v>24.09</v>
      </c>
      <c r="F3227" s="86">
        <f>-((D3227-C3227)/D3227)</f>
        <v>0.03396721311475415</v>
      </c>
      <c r="G3227" s="85">
        <f>C3227-D3227</f>
        <v>1.1396000000000015</v>
      </c>
      <c r="H3227" s="84">
        <v>430</v>
      </c>
      <c r="I3227" s="84" t="s">
        <v>376</v>
      </c>
    </row>
    <row r="3228" spans="1:9" ht="12.75">
      <c r="A3228" s="5"/>
      <c r="B3228" s="83" t="s">
        <v>318</v>
      </c>
      <c r="C3228" s="85">
        <f>(6/5)^2*E3228</f>
        <v>52.53119999999999</v>
      </c>
      <c r="D3228" s="84">
        <v>49.19</v>
      </c>
      <c r="E3228" s="84">
        <v>36.48</v>
      </c>
      <c r="F3228" s="86">
        <f>-((D3228-C3228)/D3228)</f>
        <v>0.06792437487294152</v>
      </c>
      <c r="G3228" s="85">
        <f>C3228-D3228</f>
        <v>3.3411999999999935</v>
      </c>
      <c r="H3228" s="84">
        <v>430</v>
      </c>
      <c r="I3228" s="84" t="s">
        <v>376</v>
      </c>
    </row>
    <row r="3229" spans="1:9" ht="12.75">
      <c r="A3229" s="5"/>
      <c r="B3229" s="83" t="s">
        <v>319</v>
      </c>
      <c r="C3229" s="85">
        <f>(6/5)^2*E3229</f>
        <v>34.848</v>
      </c>
      <c r="D3229" s="84">
        <v>33.44</v>
      </c>
      <c r="E3229" s="84">
        <v>24.2</v>
      </c>
      <c r="F3229" s="86">
        <f>-((D3229-C3229)/D3229)</f>
        <v>0.04210526315789478</v>
      </c>
      <c r="G3229" s="85">
        <f>C3229-D3229</f>
        <v>1.4080000000000013</v>
      </c>
      <c r="H3229" s="84">
        <v>430</v>
      </c>
      <c r="I3229" s="84" t="s">
        <v>376</v>
      </c>
    </row>
    <row r="3230" spans="1:9" ht="12.75">
      <c r="A3230" s="5"/>
      <c r="B3230" s="83" t="s">
        <v>320</v>
      </c>
      <c r="C3230" s="85">
        <f>(6/5)^2*E3230</f>
        <v>35.078399999999995</v>
      </c>
      <c r="D3230" s="84">
        <v>33.36</v>
      </c>
      <c r="E3230" s="84">
        <v>24.36</v>
      </c>
      <c r="F3230" s="86">
        <f>-((D3230-C3230)/D3230)</f>
        <v>0.05151079136690634</v>
      </c>
      <c r="G3230" s="85">
        <f>C3230-D3230</f>
        <v>1.7183999999999955</v>
      </c>
      <c r="H3230" s="84">
        <v>430</v>
      </c>
      <c r="I3230" s="84" t="s">
        <v>376</v>
      </c>
    </row>
    <row r="3231" spans="1:9" ht="12.75">
      <c r="A3231" s="5"/>
      <c r="B3231" s="83" t="s">
        <v>284</v>
      </c>
      <c r="C3231" s="85">
        <f>(6/5)^2*E3231</f>
        <v>32.803200000000004</v>
      </c>
      <c r="D3231" s="84">
        <v>31.2</v>
      </c>
      <c r="E3231" s="84">
        <v>22.78</v>
      </c>
      <c r="F3231" s="86">
        <f>-((D3231-C3231)/D3231)</f>
        <v>0.051384615384615535</v>
      </c>
      <c r="G3231" s="85">
        <f>C3231-D3231</f>
        <v>1.6032000000000046</v>
      </c>
      <c r="H3231" s="84">
        <v>430</v>
      </c>
      <c r="I3231" s="84" t="s">
        <v>376</v>
      </c>
    </row>
    <row r="3232" spans="1:9" ht="12.75">
      <c r="A3232" s="5"/>
      <c r="B3232" s="83" t="s">
        <v>285</v>
      </c>
      <c r="C3232" s="85">
        <f>(6/5)^2*E3232</f>
        <v>39.168</v>
      </c>
      <c r="D3232" s="84">
        <v>37.76</v>
      </c>
      <c r="E3232" s="84">
        <v>27.2</v>
      </c>
      <c r="F3232" s="86">
        <f>-((D3232-C3232)/D3232)</f>
        <v>0.037288135593220376</v>
      </c>
      <c r="G3232" s="85">
        <f>C3232-D3232</f>
        <v>1.4080000000000013</v>
      </c>
      <c r="H3232" s="84">
        <v>430</v>
      </c>
      <c r="I3232" s="84" t="s">
        <v>376</v>
      </c>
    </row>
    <row r="3233" spans="1:9" ht="12.75">
      <c r="A3233" s="5"/>
      <c r="B3233" s="83" t="s">
        <v>286</v>
      </c>
      <c r="C3233" s="85">
        <f>(6/5)^2*E3233</f>
        <v>28.4544</v>
      </c>
      <c r="D3233" s="84">
        <v>27.61</v>
      </c>
      <c r="E3233" s="84">
        <v>19.76</v>
      </c>
      <c r="F3233" s="86">
        <f>-((D3233-C3233)/D3233)</f>
        <v>0.030583122057225652</v>
      </c>
      <c r="G3233" s="85">
        <f>C3233-D3233</f>
        <v>0.8444000000000003</v>
      </c>
      <c r="H3233" s="84">
        <v>430</v>
      </c>
      <c r="I3233" s="84" t="s">
        <v>376</v>
      </c>
    </row>
    <row r="3234" spans="1:9" ht="12.75">
      <c r="A3234" s="5"/>
      <c r="B3234" s="83" t="s">
        <v>308</v>
      </c>
      <c r="C3234" s="85">
        <f>(6/5)^2*E3234</f>
        <v>33.7824</v>
      </c>
      <c r="D3234" s="84">
        <v>30.25</v>
      </c>
      <c r="E3234" s="84">
        <v>23.46</v>
      </c>
      <c r="F3234" s="86">
        <f>-((D3234-C3234)/D3234)</f>
        <v>0.11677355371900836</v>
      </c>
      <c r="G3234" s="85">
        <f>C3234-D3234</f>
        <v>3.5324000000000026</v>
      </c>
      <c r="H3234" s="84">
        <v>430</v>
      </c>
      <c r="I3234" s="84" t="s">
        <v>376</v>
      </c>
    </row>
    <row r="3235" spans="1:9" ht="12.75">
      <c r="A3235" s="5"/>
      <c r="B3235" s="83" t="s">
        <v>287</v>
      </c>
      <c r="C3235" s="85">
        <f>(6/5)^2*E3235</f>
        <v>28.310399999999998</v>
      </c>
      <c r="D3235" s="84">
        <v>27.79</v>
      </c>
      <c r="E3235" s="84">
        <v>19.66</v>
      </c>
      <c r="F3235" s="86">
        <f>-((D3235-C3235)/D3235)</f>
        <v>0.018726160489384622</v>
      </c>
      <c r="G3235" s="85">
        <f>C3235-D3235</f>
        <v>0.5203999999999986</v>
      </c>
      <c r="H3235" s="84">
        <v>430</v>
      </c>
      <c r="I3235" s="84" t="s">
        <v>376</v>
      </c>
    </row>
    <row r="3236" spans="1:9" ht="12.75">
      <c r="A3236" s="5"/>
      <c r="B3236" s="83"/>
      <c r="C3236" s="85"/>
      <c r="D3236" s="84"/>
      <c r="E3236" s="84" t="s">
        <v>14</v>
      </c>
      <c r="F3236" s="86">
        <f>AVERAGE(F3219:F3235)</f>
        <v>0.06332544357801337</v>
      </c>
      <c r="G3236" s="85">
        <f>AVERAGE(G3219:G3235)</f>
        <v>2.3445176470588236</v>
      </c>
      <c r="H3236" s="84"/>
      <c r="I3236" s="84"/>
    </row>
    <row r="3237" spans="1:9" ht="12.75">
      <c r="A3237" s="5"/>
      <c r="B3237" s="83"/>
      <c r="C3237" s="85"/>
      <c r="D3237" s="84"/>
      <c r="E3237" s="84"/>
      <c r="F3237" s="86"/>
      <c r="G3237" s="85"/>
      <c r="H3237" s="84"/>
      <c r="I3237" s="84"/>
    </row>
    <row r="3238" spans="1:9" ht="12.75">
      <c r="A3238" s="90" t="s">
        <v>0</v>
      </c>
      <c r="B3238" s="90" t="s">
        <v>1</v>
      </c>
      <c r="C3238" s="91" t="s">
        <v>382</v>
      </c>
      <c r="D3238" s="91" t="s">
        <v>206</v>
      </c>
      <c r="E3238" s="91" t="s">
        <v>194</v>
      </c>
      <c r="F3238" s="91" t="s">
        <v>5</v>
      </c>
      <c r="G3238" s="91" t="s">
        <v>6</v>
      </c>
      <c r="H3238" s="91" t="s">
        <v>7</v>
      </c>
      <c r="I3238" s="91" t="s">
        <v>8</v>
      </c>
    </row>
    <row r="3239" spans="1:9" ht="12.75">
      <c r="A3239" s="90" t="s">
        <v>381</v>
      </c>
      <c r="B3239" s="90" t="s">
        <v>312</v>
      </c>
      <c r="C3239" s="92">
        <f>(8/6)^1.82*E3239</f>
        <v>50.5912306109989</v>
      </c>
      <c r="D3239" s="91">
        <v>48.96</v>
      </c>
      <c r="E3239" s="91">
        <v>29.97</v>
      </c>
      <c r="F3239" s="93">
        <f>-((D3239-C3239)/D3239)</f>
        <v>0.033317618688702984</v>
      </c>
      <c r="G3239" s="92">
        <f>C3239-D3239</f>
        <v>1.631230610998898</v>
      </c>
      <c r="H3239" s="91">
        <v>430</v>
      </c>
      <c r="I3239" s="91" t="s">
        <v>376</v>
      </c>
    </row>
    <row r="3240" spans="1:9" ht="12.75">
      <c r="A3240" s="94"/>
      <c r="B3240" s="90" t="s">
        <v>300</v>
      </c>
      <c r="C3240" s="92">
        <f>(8/6)^1.82*E3240</f>
        <v>45.56080461097299</v>
      </c>
      <c r="D3240" s="91">
        <v>43.07</v>
      </c>
      <c r="E3240" s="91">
        <v>26.99</v>
      </c>
      <c r="F3240" s="93">
        <f>-((D3240-C3240)/D3240)</f>
        <v>0.05783154425291355</v>
      </c>
      <c r="G3240" s="92">
        <f>C3240-D3240</f>
        <v>2.4908046109729867</v>
      </c>
      <c r="H3240" s="91">
        <v>430</v>
      </c>
      <c r="I3240" s="91" t="s">
        <v>376</v>
      </c>
    </row>
    <row r="3241" spans="1:9" ht="12.75">
      <c r="A3241" s="94"/>
      <c r="B3241" s="90" t="s">
        <v>299</v>
      </c>
      <c r="C3241" s="92">
        <f>(8/6)^1.82*E3241</f>
        <v>32.630246503523814</v>
      </c>
      <c r="D3241" s="91">
        <v>31.18</v>
      </c>
      <c r="E3241" s="91">
        <v>19.33</v>
      </c>
      <c r="F3241" s="93">
        <f>-((D3241-C3241)/D3241)</f>
        <v>0.04651207516112298</v>
      </c>
      <c r="G3241" s="92">
        <f>C3241-D3241</f>
        <v>1.4502465035238146</v>
      </c>
      <c r="H3241" s="91">
        <v>430</v>
      </c>
      <c r="I3241" s="91" t="s">
        <v>376</v>
      </c>
    </row>
    <row r="3242" spans="1:9" ht="12.75">
      <c r="A3242" s="94"/>
      <c r="B3242" s="90" t="s">
        <v>288</v>
      </c>
      <c r="C3242" s="92">
        <f>(8/6)^1.82*E3242</f>
        <v>42.353486020352435</v>
      </c>
      <c r="D3242" s="91">
        <v>42.96</v>
      </c>
      <c r="E3242" s="91">
        <v>25.09</v>
      </c>
      <c r="F3242" s="93">
        <f>-((D3242-C3242)/D3242)</f>
        <v>-0.014118109395893069</v>
      </c>
      <c r="G3242" s="92">
        <f>C3242-D3242</f>
        <v>-0.6065139796475663</v>
      </c>
      <c r="H3242" s="91">
        <v>430</v>
      </c>
      <c r="I3242" s="91" t="s">
        <v>376</v>
      </c>
    </row>
    <row r="3243" spans="1:9" ht="12.75">
      <c r="A3243" s="94"/>
      <c r="B3243" s="90" t="s">
        <v>289</v>
      </c>
      <c r="C3243" s="92">
        <f>(8/6)^1.82*E3243</f>
        <v>42.792382248542616</v>
      </c>
      <c r="D3243" s="91">
        <v>45.5</v>
      </c>
      <c r="E3243" s="91">
        <v>25.35</v>
      </c>
      <c r="F3243" s="93">
        <f>-((D3243-C3243)/D3243)</f>
        <v>-0.059508082449612844</v>
      </c>
      <c r="G3243" s="92">
        <f>C3243-D3243</f>
        <v>-2.7076177514573843</v>
      </c>
      <c r="H3243" s="91">
        <v>430</v>
      </c>
      <c r="I3243" s="91" t="s">
        <v>376</v>
      </c>
    </row>
    <row r="3244" spans="1:9" ht="12.75">
      <c r="A3244" s="94"/>
      <c r="B3244" s="90" t="s">
        <v>242</v>
      </c>
      <c r="C3244" s="92">
        <f>(8/6)^1.82*E3244</f>
        <v>38.21773310086804</v>
      </c>
      <c r="D3244" s="91">
        <v>38.26</v>
      </c>
      <c r="E3244" s="91">
        <v>22.64</v>
      </c>
      <c r="F3244" s="93">
        <f>-((D3244-C3244)/D3244)</f>
        <v>-0.0011047281529524228</v>
      </c>
      <c r="G3244" s="92">
        <f>C3244-D3244</f>
        <v>-0.04226689913195969</v>
      </c>
      <c r="H3244" s="91">
        <v>430</v>
      </c>
      <c r="I3244" s="91" t="s">
        <v>376</v>
      </c>
    </row>
    <row r="3245" spans="1:9" ht="12.75">
      <c r="A3245" s="94"/>
      <c r="B3245" s="90" t="s">
        <v>148</v>
      </c>
      <c r="C3245" s="92">
        <f>(8/6)^1.82*E3245</f>
        <v>30.064391631027373</v>
      </c>
      <c r="D3245" s="91">
        <v>30.42</v>
      </c>
      <c r="E3245" s="91">
        <v>17.81</v>
      </c>
      <c r="F3245" s="93">
        <f>-((D3245-C3245)/D3245)</f>
        <v>-0.011689952957680098</v>
      </c>
      <c r="G3245" s="92">
        <f>C3245-D3245</f>
        <v>-0.3556083689726286</v>
      </c>
      <c r="H3245" s="91">
        <v>430</v>
      </c>
      <c r="I3245" s="91" t="s">
        <v>376</v>
      </c>
    </row>
    <row r="3246" spans="1:9" ht="12.75">
      <c r="A3246" s="94"/>
      <c r="B3246" s="90" t="s">
        <v>243</v>
      </c>
      <c r="C3246" s="92">
        <f>(8/6)^1.82*E3246</f>
        <v>38.20085247670688</v>
      </c>
      <c r="D3246" s="91">
        <v>37.71</v>
      </c>
      <c r="E3246" s="91">
        <v>22.63</v>
      </c>
      <c r="F3246" s="93">
        <f>-((D3246-C3246)/D3246)</f>
        <v>0.01301650693998613</v>
      </c>
      <c r="G3246" s="92">
        <f>C3246-D3246</f>
        <v>0.49085247670687693</v>
      </c>
      <c r="H3246" s="91">
        <v>430</v>
      </c>
      <c r="I3246" s="91" t="s">
        <v>376</v>
      </c>
    </row>
    <row r="3247" spans="1:9" ht="12.75">
      <c r="A3247" s="94"/>
      <c r="B3247" s="90" t="s">
        <v>244</v>
      </c>
      <c r="C3247" s="92">
        <f>(8/6)^1.82*E3247</f>
        <v>30.942184087407735</v>
      </c>
      <c r="D3247" s="91">
        <v>33</v>
      </c>
      <c r="E3247" s="91">
        <v>18.33</v>
      </c>
      <c r="F3247" s="93">
        <f>-((D3247-C3247)/D3247)</f>
        <v>-0.062358057957341353</v>
      </c>
      <c r="G3247" s="92">
        <f>C3247-D3247</f>
        <v>-2.0578159125922646</v>
      </c>
      <c r="H3247" s="91">
        <v>430</v>
      </c>
      <c r="I3247" s="91" t="s">
        <v>376</v>
      </c>
    </row>
    <row r="3248" spans="1:9" ht="12.75">
      <c r="A3248" s="94"/>
      <c r="C3248" s="92"/>
      <c r="D3248" s="91"/>
      <c r="E3248" s="91" t="s">
        <v>14</v>
      </c>
      <c r="F3248" s="93">
        <f>AVERAGE(F3239:F3247)</f>
        <v>0.0002109793476939832</v>
      </c>
      <c r="G3248" s="92">
        <f>AVERAGE(G3239:G3247)</f>
        <v>0.03259014337786365</v>
      </c>
      <c r="H3248" s="91"/>
      <c r="I3248" s="91"/>
    </row>
    <row r="3249" spans="1:9" ht="12.75">
      <c r="A3249" s="94"/>
      <c r="B3249" s="90"/>
      <c r="C3249" s="92"/>
      <c r="D3249" s="91"/>
      <c r="E3249" s="91"/>
      <c r="F3249" s="93"/>
      <c r="G3249" s="92"/>
      <c r="H3249" s="91"/>
      <c r="I3249" s="91"/>
    </row>
    <row r="3250" spans="1:9" ht="12.75">
      <c r="A3250" s="94" t="s">
        <v>0</v>
      </c>
      <c r="B3250" s="94" t="s">
        <v>1</v>
      </c>
      <c r="C3250" s="95" t="s">
        <v>349</v>
      </c>
      <c r="D3250" s="95" t="s">
        <v>206</v>
      </c>
      <c r="E3250" s="95" t="s">
        <v>194</v>
      </c>
      <c r="F3250" s="95" t="s">
        <v>5</v>
      </c>
      <c r="G3250" s="95" t="s">
        <v>6</v>
      </c>
      <c r="H3250" s="95" t="s">
        <v>7</v>
      </c>
      <c r="I3250" s="95" t="s">
        <v>8</v>
      </c>
    </row>
    <row r="3251" spans="1:9" ht="12.75">
      <c r="A3251" s="94" t="s">
        <v>381</v>
      </c>
      <c r="B3251" s="94" t="s">
        <v>312</v>
      </c>
      <c r="C3251" s="96">
        <f>(8/6)^2*E3251</f>
        <v>53.279999999999994</v>
      </c>
      <c r="D3251" s="95">
        <v>48.96</v>
      </c>
      <c r="E3251" s="95">
        <v>29.97</v>
      </c>
      <c r="F3251" s="97">
        <f>-((D3251-C3251)/D3251)</f>
        <v>0.08823529411764691</v>
      </c>
      <c r="G3251" s="96">
        <f>C3251-D3251</f>
        <v>4.319999999999993</v>
      </c>
      <c r="H3251" s="95">
        <v>430</v>
      </c>
      <c r="I3251" s="95" t="s">
        <v>376</v>
      </c>
    </row>
    <row r="3252" spans="1:9" ht="12.75">
      <c r="A3252" s="94"/>
      <c r="B3252" s="94" t="s">
        <v>300</v>
      </c>
      <c r="C3252" s="96">
        <f>(8/6)^2*E3252</f>
        <v>47.98222222222222</v>
      </c>
      <c r="D3252" s="95">
        <v>43.07</v>
      </c>
      <c r="E3252" s="95">
        <v>26.99</v>
      </c>
      <c r="F3252" s="97">
        <f>-((D3252-C3252)/D3252)</f>
        <v>0.11405205995407985</v>
      </c>
      <c r="G3252" s="96">
        <f>C3252-D3252</f>
        <v>4.912222222222219</v>
      </c>
      <c r="H3252" s="95">
        <v>430</v>
      </c>
      <c r="I3252" s="95" t="s">
        <v>376</v>
      </c>
    </row>
    <row r="3253" spans="1:9" ht="12.75">
      <c r="A3253" s="94"/>
      <c r="B3253" s="94" t="s">
        <v>299</v>
      </c>
      <c r="C3253" s="96">
        <f>(8/6)^2*E3253</f>
        <v>34.36444444444444</v>
      </c>
      <c r="D3253" s="95">
        <v>31.18</v>
      </c>
      <c r="E3253" s="95">
        <v>19.33</v>
      </c>
      <c r="F3253" s="97">
        <f>-((D3253-C3253)/D3253)</f>
        <v>0.10213099565248357</v>
      </c>
      <c r="G3253" s="96">
        <f>C3253-D3253</f>
        <v>3.1844444444444377</v>
      </c>
      <c r="H3253" s="95">
        <v>430</v>
      </c>
      <c r="I3253" s="95" t="s">
        <v>376</v>
      </c>
    </row>
    <row r="3254" spans="1:9" ht="12.75">
      <c r="A3254" s="94"/>
      <c r="B3254" s="94" t="s">
        <v>288</v>
      </c>
      <c r="C3254" s="96">
        <f>(8/6)^2*E3254</f>
        <v>44.60444444444444</v>
      </c>
      <c r="D3254" s="95">
        <v>42.96</v>
      </c>
      <c r="E3254" s="95">
        <v>25.09</v>
      </c>
      <c r="F3254" s="97">
        <f>-((D3254-C3254)/D3254)</f>
        <v>0.03827850196565267</v>
      </c>
      <c r="G3254" s="96">
        <f>C3254-D3254</f>
        <v>1.6444444444444386</v>
      </c>
      <c r="H3254" s="95">
        <v>430</v>
      </c>
      <c r="I3254" s="95" t="s">
        <v>376</v>
      </c>
    </row>
    <row r="3255" spans="1:9" ht="12.75">
      <c r="A3255" s="94"/>
      <c r="B3255" s="94" t="s">
        <v>289</v>
      </c>
      <c r="C3255" s="96">
        <f>(8/6)^2*E3255</f>
        <v>45.06666666666667</v>
      </c>
      <c r="D3255" s="95">
        <v>45.5</v>
      </c>
      <c r="E3255" s="95">
        <v>25.35</v>
      </c>
      <c r="F3255" s="97">
        <f>-((D3255-C3255)/D3255)</f>
        <v>-0.00952380952380945</v>
      </c>
      <c r="G3255" s="96">
        <f>C3255-D3255</f>
        <v>-0.43333333333333</v>
      </c>
      <c r="H3255" s="95">
        <v>430</v>
      </c>
      <c r="I3255" s="95" t="s">
        <v>376</v>
      </c>
    </row>
    <row r="3256" spans="1:9" ht="12.75">
      <c r="A3256" s="94"/>
      <c r="B3256" s="94" t="s">
        <v>242</v>
      </c>
      <c r="C3256" s="96">
        <f>(8/6)^2*E3256</f>
        <v>40.248888888888885</v>
      </c>
      <c r="D3256" s="95">
        <v>38.26</v>
      </c>
      <c r="E3256" s="95">
        <v>22.64</v>
      </c>
      <c r="F3256" s="97">
        <f>-((D3256-C3256)/D3256)</f>
        <v>0.051983504675611275</v>
      </c>
      <c r="G3256" s="96">
        <f>C3256-D3256</f>
        <v>1.9888888888888872</v>
      </c>
      <c r="H3256" s="95">
        <v>430</v>
      </c>
      <c r="I3256" s="95" t="s">
        <v>376</v>
      </c>
    </row>
    <row r="3257" spans="1:9" ht="12.75">
      <c r="A3257" s="94"/>
      <c r="B3257" s="94" t="s">
        <v>148</v>
      </c>
      <c r="C3257" s="96">
        <f>(8/6)^2*E3257</f>
        <v>31.66222222222222</v>
      </c>
      <c r="D3257" s="95">
        <v>30.42</v>
      </c>
      <c r="E3257" s="95">
        <v>17.81</v>
      </c>
      <c r="F3257" s="97">
        <f>-((D3257-C3257)/D3257)</f>
        <v>0.04083570750237401</v>
      </c>
      <c r="G3257" s="96">
        <f>C3257-D3257</f>
        <v>1.2422222222222175</v>
      </c>
      <c r="H3257" s="95">
        <v>430</v>
      </c>
      <c r="I3257" s="95" t="s">
        <v>376</v>
      </c>
    </row>
    <row r="3258" spans="1:9" ht="12.75">
      <c r="A3258" s="94"/>
      <c r="B3258" s="94" t="s">
        <v>243</v>
      </c>
      <c r="C3258" s="96">
        <f>(8/6)^2*E3258</f>
        <v>40.231111111111105</v>
      </c>
      <c r="D3258" s="95">
        <v>37.71</v>
      </c>
      <c r="E3258" s="95">
        <v>22.63</v>
      </c>
      <c r="F3258" s="97">
        <f>-((D3258-C3258)/D3258)</f>
        <v>0.06685524028403882</v>
      </c>
      <c r="G3258" s="96">
        <f>C3258-D3258</f>
        <v>2.5211111111111038</v>
      </c>
      <c r="H3258" s="95">
        <v>430</v>
      </c>
      <c r="I3258" s="95" t="s">
        <v>376</v>
      </c>
    </row>
    <row r="3259" spans="1:9" ht="12.75">
      <c r="A3259" s="94"/>
      <c r="B3259" s="94" t="s">
        <v>244</v>
      </c>
      <c r="C3259" s="96">
        <f>(8/6)^2*E3259</f>
        <v>32.58666666666666</v>
      </c>
      <c r="D3259" s="95">
        <v>33</v>
      </c>
      <c r="E3259" s="95">
        <v>18.33</v>
      </c>
      <c r="F3259" s="97">
        <f>-((D3259-C3259)/D3259)</f>
        <v>-0.01252525252525276</v>
      </c>
      <c r="G3259" s="96">
        <f>C3259-D3259</f>
        <v>-0.4133333333333411</v>
      </c>
      <c r="H3259" s="95">
        <v>430</v>
      </c>
      <c r="I3259" s="95" t="s">
        <v>376</v>
      </c>
    </row>
    <row r="3260" spans="1:9" ht="12.75">
      <c r="A3260" s="94"/>
      <c r="B3260" s="5"/>
      <c r="C3260" s="96"/>
      <c r="D3260" s="95"/>
      <c r="E3260" s="95" t="s">
        <v>14</v>
      </c>
      <c r="F3260" s="97">
        <f>AVERAGE(F3251:F3259)</f>
        <v>0.05336913801142499</v>
      </c>
      <c r="G3260" s="96">
        <f>AVERAGE(G3251:G3259)</f>
        <v>2.1074074074074027</v>
      </c>
      <c r="H3260" s="95"/>
      <c r="I3260" s="95"/>
    </row>
    <row r="3261" spans="2:9" ht="12.75">
      <c r="B3261" s="79"/>
      <c r="C3261" s="81"/>
      <c r="D3261" s="80"/>
      <c r="E3261" s="80"/>
      <c r="F3261" s="82"/>
      <c r="G3261" s="81"/>
      <c r="H3261" s="80"/>
      <c r="I3261" s="80"/>
    </row>
    <row r="3262" spans="1:9" ht="12.75">
      <c r="A3262" s="79" t="s">
        <v>0</v>
      </c>
      <c r="B3262" s="79" t="s">
        <v>1</v>
      </c>
      <c r="C3262" s="80" t="s">
        <v>383</v>
      </c>
      <c r="D3262" s="80" t="s">
        <v>194</v>
      </c>
      <c r="E3262" s="80" t="s">
        <v>218</v>
      </c>
      <c r="F3262" s="80" t="s">
        <v>5</v>
      </c>
      <c r="G3262" s="80" t="s">
        <v>6</v>
      </c>
      <c r="H3262" s="80" t="s">
        <v>7</v>
      </c>
      <c r="I3262" s="80" t="s">
        <v>8</v>
      </c>
    </row>
    <row r="3263" spans="1:9" ht="12.75">
      <c r="A3263" s="79" t="s">
        <v>384</v>
      </c>
      <c r="B3263" s="79" t="s">
        <v>340</v>
      </c>
      <c r="C3263" s="81">
        <f>(6/5)^1.73*E3263</f>
        <v>99.76899716809613</v>
      </c>
      <c r="D3263" s="80">
        <v>100.23</v>
      </c>
      <c r="E3263" s="80">
        <v>72.78</v>
      </c>
      <c r="F3263" s="82">
        <f>-((D3263-C3263)/D3263)</f>
        <v>-0.004599449584993206</v>
      </c>
      <c r="G3263" s="81">
        <f>C3263-D3263</f>
        <v>-0.46100283190386904</v>
      </c>
      <c r="H3263" s="80">
        <v>520</v>
      </c>
      <c r="I3263" s="80" t="s">
        <v>385</v>
      </c>
    </row>
    <row r="3264" spans="2:9" ht="12.75">
      <c r="B3264" s="79" t="s">
        <v>341</v>
      </c>
      <c r="C3264" s="81">
        <f>(6/5)^1.73*E3264</f>
        <v>86.95173798258227</v>
      </c>
      <c r="D3264" s="80">
        <v>83.11</v>
      </c>
      <c r="E3264" s="80">
        <v>63.43</v>
      </c>
      <c r="F3264" s="82">
        <f>-((D3264-C3264)/D3264)</f>
        <v>0.04622473808906598</v>
      </c>
      <c r="G3264" s="81">
        <f>C3264-D3264</f>
        <v>3.8417379825822735</v>
      </c>
      <c r="H3264" s="80">
        <v>520</v>
      </c>
      <c r="I3264" s="80" t="s">
        <v>385</v>
      </c>
    </row>
    <row r="3265" spans="2:9" ht="12.75">
      <c r="B3265" s="79" t="s">
        <v>334</v>
      </c>
      <c r="C3265" s="81">
        <f>(6/5)^1.73*E3265</f>
        <v>86.34857284444045</v>
      </c>
      <c r="D3265" s="80">
        <v>82.81</v>
      </c>
      <c r="E3265" s="80">
        <v>62.99</v>
      </c>
      <c r="F3265" s="82">
        <f>-((D3265-C3265)/D3265)</f>
        <v>0.04273122623403516</v>
      </c>
      <c r="G3265" s="81">
        <f>C3265-D3265</f>
        <v>3.538572844440452</v>
      </c>
      <c r="H3265" s="80">
        <v>520</v>
      </c>
      <c r="I3265" s="80" t="s">
        <v>385</v>
      </c>
    </row>
    <row r="3266" spans="2:9" ht="12.75">
      <c r="B3266" s="79" t="s">
        <v>316</v>
      </c>
      <c r="C3266" s="81">
        <f>(6/5)^1.73*E3266</f>
        <v>69.43253237928097</v>
      </c>
      <c r="D3266" s="80">
        <v>70.72</v>
      </c>
      <c r="E3266" s="80">
        <v>50.65</v>
      </c>
      <c r="F3266" s="82">
        <f>-((D3266-C3266)/D3266)</f>
        <v>-0.01820514169568761</v>
      </c>
      <c r="G3266" s="81">
        <f>C3266-D3266</f>
        <v>-1.2874676207190277</v>
      </c>
      <c r="H3266" s="80">
        <v>520</v>
      </c>
      <c r="I3266" s="80" t="s">
        <v>385</v>
      </c>
    </row>
    <row r="3267" spans="2:9" ht="12.75">
      <c r="B3267" s="79" t="s">
        <v>312</v>
      </c>
      <c r="C3267" s="81">
        <f>(6/5)^1.73*E3267</f>
        <v>61.550260687654806</v>
      </c>
      <c r="D3267" s="80">
        <v>56.72</v>
      </c>
      <c r="E3267" s="80">
        <v>44.9</v>
      </c>
      <c r="F3267" s="82">
        <f>-((D3267-C3267)/D3267)</f>
        <v>0.08515974414059956</v>
      </c>
      <c r="G3267" s="81">
        <f>C3267-D3267</f>
        <v>4.830260687654807</v>
      </c>
      <c r="H3267" s="80">
        <v>520</v>
      </c>
      <c r="I3267" s="80" t="s">
        <v>385</v>
      </c>
    </row>
    <row r="3268" spans="2:9" ht="12.75">
      <c r="B3268" s="79" t="s">
        <v>335</v>
      </c>
      <c r="C3268" s="81">
        <f>(6/5)^1.73*E3268</f>
        <v>102.63403157426983</v>
      </c>
      <c r="D3268" s="80">
        <v>100.94</v>
      </c>
      <c r="E3268" s="80">
        <v>74.87</v>
      </c>
      <c r="F3268" s="82">
        <f>-((D3268-C3268)/D3268)</f>
        <v>0.0167825596816904</v>
      </c>
      <c r="G3268" s="81">
        <f>C3268-D3268</f>
        <v>1.6940315742698289</v>
      </c>
      <c r="H3268" s="80">
        <v>520</v>
      </c>
      <c r="I3268" s="80" t="s">
        <v>385</v>
      </c>
    </row>
    <row r="3269" spans="2:9" ht="12.75">
      <c r="B3269" s="79" t="s">
        <v>317</v>
      </c>
      <c r="C3269" s="81">
        <f>(6/5)^1.73*E3269</f>
        <v>68.61003446363303</v>
      </c>
      <c r="D3269" s="80">
        <v>74.05</v>
      </c>
      <c r="E3269" s="80">
        <v>50.05</v>
      </c>
      <c r="F3269" s="82">
        <f>-((D3269-C3269)/D3269)</f>
        <v>-0.07346341034931762</v>
      </c>
      <c r="G3269" s="81">
        <f>C3269-D3269</f>
        <v>-5.4399655363669694</v>
      </c>
      <c r="H3269" s="80">
        <v>520</v>
      </c>
      <c r="I3269" s="80" t="s">
        <v>385</v>
      </c>
    </row>
    <row r="3270" spans="2:9" ht="12.75">
      <c r="B3270" s="79" t="s">
        <v>318</v>
      </c>
      <c r="C3270" s="81">
        <f>(6/5)^1.73*E3270</f>
        <v>92.77776488508859</v>
      </c>
      <c r="D3270" s="80">
        <v>96.16</v>
      </c>
      <c r="E3270" s="80">
        <v>67.68</v>
      </c>
      <c r="F3270" s="82">
        <f>-((D3270-C3270)/D3270)</f>
        <v>-0.03517299412345476</v>
      </c>
      <c r="G3270" s="81">
        <f>C3270-D3270</f>
        <v>-3.38223511491141</v>
      </c>
      <c r="H3270" s="80">
        <v>520</v>
      </c>
      <c r="I3270" s="80" t="s">
        <v>385</v>
      </c>
    </row>
    <row r="3271" spans="2:9" ht="12.75">
      <c r="B3271" s="79" t="s">
        <v>319</v>
      </c>
      <c r="C3271" s="81">
        <f>(6/5)^1.73*E3271</f>
        <v>67.93832783252054</v>
      </c>
      <c r="D3271" s="80">
        <v>69.83</v>
      </c>
      <c r="E3271" s="80">
        <v>49.56</v>
      </c>
      <c r="F3271" s="82">
        <f>-((D3271-C3271)/D3271)</f>
        <v>-0.027089677323205726</v>
      </c>
      <c r="G3271" s="81">
        <f>C3271-D3271</f>
        <v>-1.8916721674794559</v>
      </c>
      <c r="H3271" s="80">
        <v>520</v>
      </c>
      <c r="I3271" s="80" t="s">
        <v>385</v>
      </c>
    </row>
    <row r="3272" spans="2:9" ht="12.75">
      <c r="B3272" s="79" t="s">
        <v>285</v>
      </c>
      <c r="C3272" s="81">
        <f>(6/5)^1.73*E3272</f>
        <v>74.27156178300974</v>
      </c>
      <c r="D3272" s="80">
        <v>76.32</v>
      </c>
      <c r="E3272" s="80">
        <v>54.18</v>
      </c>
      <c r="F3272" s="82">
        <f>-((D3272-C3272)/D3272)</f>
        <v>-0.026840123388237016</v>
      </c>
      <c r="G3272" s="81">
        <f>C3272-D3272</f>
        <v>-2.048438216990249</v>
      </c>
      <c r="H3272" s="80">
        <v>520</v>
      </c>
      <c r="I3272" s="80" t="s">
        <v>385</v>
      </c>
    </row>
    <row r="3273" spans="2:8" ht="12.75">
      <c r="B3273" s="79"/>
      <c r="C3273" s="81"/>
      <c r="D3273" s="80"/>
      <c r="E3273" s="80" t="s">
        <v>14</v>
      </c>
      <c r="F3273" s="82">
        <f>AVERAGE(F3263:F3272)</f>
        <v>0.0005527471680495141</v>
      </c>
      <c r="G3273" s="81">
        <f>AVERAGE(G3263:G3272)</f>
        <v>-0.06061783994236194</v>
      </c>
      <c r="H3273" s="80"/>
    </row>
    <row r="3275" spans="1:9" ht="12.75">
      <c r="A3275" s="83" t="s">
        <v>0</v>
      </c>
      <c r="B3275" s="83" t="s">
        <v>1</v>
      </c>
      <c r="C3275" s="84" t="s">
        <v>247</v>
      </c>
      <c r="D3275" s="84" t="s">
        <v>194</v>
      </c>
      <c r="E3275" s="84" t="s">
        <v>218</v>
      </c>
      <c r="F3275" s="84" t="s">
        <v>5</v>
      </c>
      <c r="G3275" s="84" t="s">
        <v>6</v>
      </c>
      <c r="H3275" s="84" t="s">
        <v>7</v>
      </c>
      <c r="I3275" s="84" t="s">
        <v>8</v>
      </c>
    </row>
    <row r="3276" spans="1:9" ht="12.75">
      <c r="A3276" s="83" t="s">
        <v>384</v>
      </c>
      <c r="B3276" s="83" t="s">
        <v>340</v>
      </c>
      <c r="C3276" s="85">
        <f>(6/5)^2*E3276</f>
        <v>104.8032</v>
      </c>
      <c r="D3276" s="84">
        <v>100.23</v>
      </c>
      <c r="E3276" s="84">
        <v>72.78</v>
      </c>
      <c r="F3276" s="86">
        <f>-((D3276-C3276)/D3276)</f>
        <v>0.04562705776713558</v>
      </c>
      <c r="G3276" s="85">
        <f>C3276-D3276</f>
        <v>4.5732</v>
      </c>
      <c r="H3276" s="84">
        <v>520</v>
      </c>
      <c r="I3276" s="84" t="s">
        <v>385</v>
      </c>
    </row>
    <row r="3277" spans="1:9" ht="12.75">
      <c r="A3277" s="5"/>
      <c r="B3277" s="83" t="s">
        <v>341</v>
      </c>
      <c r="C3277" s="85">
        <f>(6/5)^2*E3277</f>
        <v>91.33919999999999</v>
      </c>
      <c r="D3277" s="84">
        <v>83.11</v>
      </c>
      <c r="E3277" s="84">
        <v>63.43</v>
      </c>
      <c r="F3277" s="86">
        <f>-((D3277-C3277)/D3277)</f>
        <v>0.09901576224281063</v>
      </c>
      <c r="G3277" s="85">
        <f>C3277-D3277</f>
        <v>8.229199999999992</v>
      </c>
      <c r="H3277" s="84">
        <v>520</v>
      </c>
      <c r="I3277" s="84" t="s">
        <v>385</v>
      </c>
    </row>
    <row r="3278" spans="1:9" ht="12.75">
      <c r="A3278" s="5"/>
      <c r="B3278" s="83" t="s">
        <v>334</v>
      </c>
      <c r="C3278" s="85">
        <f>(6/5)^2*E3278</f>
        <v>90.7056</v>
      </c>
      <c r="D3278" s="84">
        <v>82.81</v>
      </c>
      <c r="E3278" s="84">
        <v>62.99</v>
      </c>
      <c r="F3278" s="86">
        <f>-((D3278-C3278)/D3278)</f>
        <v>0.09534597270861009</v>
      </c>
      <c r="G3278" s="85">
        <f>C3278-D3278</f>
        <v>7.895600000000002</v>
      </c>
      <c r="H3278" s="84">
        <v>520</v>
      </c>
      <c r="I3278" s="84" t="s">
        <v>385</v>
      </c>
    </row>
    <row r="3279" spans="1:9" ht="12.75">
      <c r="A3279" s="5"/>
      <c r="B3279" s="83" t="s">
        <v>316</v>
      </c>
      <c r="C3279" s="85">
        <f>(6/5)^2*E3279</f>
        <v>72.93599999999999</v>
      </c>
      <c r="D3279" s="84">
        <v>70.72</v>
      </c>
      <c r="E3279" s="84">
        <v>50.65</v>
      </c>
      <c r="F3279" s="86">
        <f>-((D3279-C3279)/D3279)</f>
        <v>0.03133484162895919</v>
      </c>
      <c r="G3279" s="85">
        <f>C3279-D3279</f>
        <v>2.215999999999994</v>
      </c>
      <c r="H3279" s="84">
        <v>520</v>
      </c>
      <c r="I3279" s="84" t="s">
        <v>385</v>
      </c>
    </row>
    <row r="3280" spans="1:9" ht="12.75">
      <c r="A3280" s="5"/>
      <c r="B3280" s="83" t="s">
        <v>312</v>
      </c>
      <c r="C3280" s="85">
        <f>(6/5)^2*E3280</f>
        <v>64.65599999999999</v>
      </c>
      <c r="D3280" s="84">
        <v>56.72</v>
      </c>
      <c r="E3280" s="84">
        <v>44.9</v>
      </c>
      <c r="F3280" s="86">
        <f>-((D3280-C3280)/D3280)</f>
        <v>0.1399153737658673</v>
      </c>
      <c r="G3280" s="85">
        <f>C3280-D3280</f>
        <v>7.935999999999993</v>
      </c>
      <c r="H3280" s="84">
        <v>520</v>
      </c>
      <c r="I3280" s="84" t="s">
        <v>385</v>
      </c>
    </row>
    <row r="3281" spans="1:9" ht="12.75">
      <c r="A3281" s="5"/>
      <c r="B3281" s="83" t="s">
        <v>335</v>
      </c>
      <c r="C3281" s="85">
        <f>(6/5)^2*E3281</f>
        <v>107.8128</v>
      </c>
      <c r="D3281" s="84">
        <v>100.94</v>
      </c>
      <c r="E3281" s="84">
        <v>74.87</v>
      </c>
      <c r="F3281" s="86">
        <f>-((D3281-C3281)/D3281)</f>
        <v>0.06808797305329897</v>
      </c>
      <c r="G3281" s="85">
        <f>C3281-D3281</f>
        <v>6.872799999999998</v>
      </c>
      <c r="H3281" s="84">
        <v>520</v>
      </c>
      <c r="I3281" s="84" t="s">
        <v>385</v>
      </c>
    </row>
    <row r="3282" spans="1:9" ht="12.75">
      <c r="A3282" s="5"/>
      <c r="B3282" s="83" t="s">
        <v>317</v>
      </c>
      <c r="C3282" s="85">
        <f>(6/5)^2*E3282</f>
        <v>72.07199999999999</v>
      </c>
      <c r="D3282" s="84">
        <v>74.05</v>
      </c>
      <c r="E3282" s="84">
        <v>50.05</v>
      </c>
      <c r="F3282" s="86">
        <f>-((D3282-C3282)/D3282)</f>
        <v>-0.026711681296421454</v>
      </c>
      <c r="G3282" s="85">
        <f>C3282-D3282</f>
        <v>-1.9780000000000086</v>
      </c>
      <c r="H3282" s="84">
        <v>520</v>
      </c>
      <c r="I3282" s="84" t="s">
        <v>385</v>
      </c>
    </row>
    <row r="3283" spans="1:9" ht="12.75">
      <c r="A3283" s="5"/>
      <c r="B3283" s="83" t="s">
        <v>318</v>
      </c>
      <c r="C3283" s="85">
        <f>(6/5)^2*E3283</f>
        <v>97.45920000000001</v>
      </c>
      <c r="D3283" s="84">
        <v>96.16</v>
      </c>
      <c r="E3283" s="84">
        <v>67.68</v>
      </c>
      <c r="F3283" s="86">
        <f>-((D3283-C3283)/D3283)</f>
        <v>0.013510815307820438</v>
      </c>
      <c r="G3283" s="85">
        <f>C3283-D3283</f>
        <v>1.2992000000000132</v>
      </c>
      <c r="H3283" s="84">
        <v>520</v>
      </c>
      <c r="I3283" s="84" t="s">
        <v>385</v>
      </c>
    </row>
    <row r="3284" spans="1:9" ht="12.75">
      <c r="A3284" s="5"/>
      <c r="B3284" s="83" t="s">
        <v>319</v>
      </c>
      <c r="C3284" s="85">
        <f>(6/5)^2*E3284</f>
        <v>71.3664</v>
      </c>
      <c r="D3284" s="84">
        <v>69.83</v>
      </c>
      <c r="E3284" s="84">
        <v>49.56</v>
      </c>
      <c r="F3284" s="86">
        <f>-((D3284-C3284)/D3284)</f>
        <v>0.0220020048689675</v>
      </c>
      <c r="G3284" s="85">
        <f>C3284-D3284</f>
        <v>1.5364000000000004</v>
      </c>
      <c r="H3284" s="84">
        <v>520</v>
      </c>
      <c r="I3284" s="84" t="s">
        <v>385</v>
      </c>
    </row>
    <row r="3285" spans="1:9" ht="12.75">
      <c r="A3285" s="5"/>
      <c r="B3285" s="83" t="s">
        <v>285</v>
      </c>
      <c r="C3285" s="85">
        <f>(6/5)^2*E3285</f>
        <v>78.0192</v>
      </c>
      <c r="D3285" s="84">
        <v>76.32</v>
      </c>
      <c r="E3285" s="84">
        <v>54.18</v>
      </c>
      <c r="F3285" s="86">
        <f>-((D3285-C3285)/D3285)</f>
        <v>0.02226415094339629</v>
      </c>
      <c r="G3285" s="85">
        <f>C3285-D3285</f>
        <v>1.6992000000000047</v>
      </c>
      <c r="H3285" s="84">
        <v>520</v>
      </c>
      <c r="I3285" s="84" t="s">
        <v>385</v>
      </c>
    </row>
    <row r="3286" spans="1:9" ht="12.75">
      <c r="A3286" s="5"/>
      <c r="B3286" s="83"/>
      <c r="C3286" s="85"/>
      <c r="D3286" s="84"/>
      <c r="E3286" s="84" t="s">
        <v>14</v>
      </c>
      <c r="F3286" s="86">
        <f>AVERAGE(F3276:F3285)</f>
        <v>0.05103922709904446</v>
      </c>
      <c r="G3286" s="85">
        <f>AVERAGE(G3276:G3285)</f>
        <v>4.027959999999998</v>
      </c>
      <c r="H3286" s="84"/>
      <c r="I3286" s="5"/>
    </row>
    <row r="3287" spans="1:9" ht="12.75">
      <c r="A3287" s="5"/>
      <c r="B3287" s="83"/>
      <c r="C3287" s="85"/>
      <c r="D3287" s="84"/>
      <c r="E3287" s="84"/>
      <c r="F3287" s="86"/>
      <c r="G3287" s="85"/>
      <c r="H3287" s="84"/>
      <c r="I3287" s="5"/>
    </row>
    <row r="3288" spans="1:9" ht="12.75">
      <c r="A3288" s="79" t="s">
        <v>0</v>
      </c>
      <c r="B3288" s="79" t="s">
        <v>1</v>
      </c>
      <c r="C3288" s="80" t="s">
        <v>386</v>
      </c>
      <c r="D3288" s="80" t="s">
        <v>194</v>
      </c>
      <c r="E3288" s="80" t="s">
        <v>218</v>
      </c>
      <c r="F3288" s="80" t="s">
        <v>5</v>
      </c>
      <c r="G3288" s="80" t="s">
        <v>6</v>
      </c>
      <c r="H3288" s="80" t="s">
        <v>7</v>
      </c>
      <c r="I3288" s="80" t="s">
        <v>8</v>
      </c>
    </row>
    <row r="3289" spans="1:9" ht="12.75">
      <c r="A3289" s="79" t="s">
        <v>387</v>
      </c>
      <c r="B3289" s="79" t="s">
        <v>339</v>
      </c>
      <c r="C3289" s="81">
        <f>(6/5)^1.66*E3289</f>
        <v>87.70328778185775</v>
      </c>
      <c r="D3289" s="80">
        <v>85.77</v>
      </c>
      <c r="E3289" s="80">
        <v>64.8</v>
      </c>
      <c r="F3289" s="82">
        <f>-((D3289-C3289)/D3289)</f>
        <v>0.022540372879302287</v>
      </c>
      <c r="G3289" s="81">
        <f>C3289-D3289</f>
        <v>1.9332877818577572</v>
      </c>
      <c r="H3289" s="80">
        <v>440</v>
      </c>
      <c r="I3289" s="80" t="s">
        <v>385</v>
      </c>
    </row>
    <row r="3290" spans="2:9" ht="12.75">
      <c r="B3290" s="79" t="s">
        <v>340</v>
      </c>
      <c r="C3290" s="81">
        <f>(6/5)^1.66*E3290</f>
        <v>69.48590732593483</v>
      </c>
      <c r="D3290" s="80">
        <v>65.83</v>
      </c>
      <c r="E3290" s="80">
        <v>51.34</v>
      </c>
      <c r="F3290" s="82">
        <f>-((D3290-C3290)/D3290)</f>
        <v>0.055535581436044874</v>
      </c>
      <c r="G3290" s="81">
        <f>C3290-D3290</f>
        <v>3.655907325934834</v>
      </c>
      <c r="H3290" s="80">
        <v>440</v>
      </c>
      <c r="I3290" s="80" t="s">
        <v>385</v>
      </c>
    </row>
    <row r="3291" spans="2:9" ht="12.75">
      <c r="B3291" s="79" t="s">
        <v>341</v>
      </c>
      <c r="C3291" s="81">
        <f>(6/5)^1.66*E3291</f>
        <v>59.307994916682205</v>
      </c>
      <c r="D3291" s="80">
        <v>59.39</v>
      </c>
      <c r="E3291" s="80">
        <v>43.82</v>
      </c>
      <c r="F3291" s="82">
        <f>-((D3291-C3291)/D3291)</f>
        <v>-0.0013807894143424125</v>
      </c>
      <c r="G3291" s="81">
        <f>C3291-D3291</f>
        <v>-0.08200508331779588</v>
      </c>
      <c r="H3291" s="80">
        <v>440</v>
      </c>
      <c r="I3291" s="80" t="s">
        <v>385</v>
      </c>
    </row>
    <row r="3292" spans="2:9" ht="12.75">
      <c r="B3292" s="79" t="s">
        <v>334</v>
      </c>
      <c r="C3292" s="81">
        <f>(6/5)^1.66*E3292</f>
        <v>56.92593031026138</v>
      </c>
      <c r="D3292" s="80">
        <v>56.73</v>
      </c>
      <c r="E3292" s="80">
        <v>42.06</v>
      </c>
      <c r="F3292" s="82">
        <f>-((D3292-C3292)/D3292)</f>
        <v>0.003453733655233239</v>
      </c>
      <c r="G3292" s="81">
        <f>C3292-D3292</f>
        <v>0.19593031026138163</v>
      </c>
      <c r="H3292" s="80">
        <v>440</v>
      </c>
      <c r="I3292" s="80" t="s">
        <v>385</v>
      </c>
    </row>
    <row r="3293" spans="2:9" ht="12.75">
      <c r="B3293" s="79" t="s">
        <v>316</v>
      </c>
      <c r="C3293" s="81">
        <f>(6/5)^1.66*E3293</f>
        <v>47.57361983846142</v>
      </c>
      <c r="D3293" s="80">
        <v>45.46</v>
      </c>
      <c r="E3293" s="80">
        <v>35.15</v>
      </c>
      <c r="F3293" s="82">
        <f>-((D3293-C3293)/D3293)</f>
        <v>0.04649405715929207</v>
      </c>
      <c r="G3293" s="81">
        <f>C3293-D3293</f>
        <v>2.1136198384614175</v>
      </c>
      <c r="H3293" s="80">
        <v>440</v>
      </c>
      <c r="I3293" s="80" t="s">
        <v>385</v>
      </c>
    </row>
    <row r="3294" spans="2:9" ht="12.75">
      <c r="B3294" s="79" t="s">
        <v>342</v>
      </c>
      <c r="C3294" s="81">
        <f>(6/5)^1.66*E3294</f>
        <v>80.23226697081061</v>
      </c>
      <c r="D3294" s="80">
        <v>82.53</v>
      </c>
      <c r="E3294" s="80">
        <v>59.28</v>
      </c>
      <c r="F3294" s="82">
        <f>-((D3294-C3294)/D3294)</f>
        <v>-0.02784118537730992</v>
      </c>
      <c r="G3294" s="81">
        <f>C3294-D3294</f>
        <v>-2.297733029189388</v>
      </c>
      <c r="H3294" s="80">
        <v>440</v>
      </c>
      <c r="I3294" s="80" t="s">
        <v>385</v>
      </c>
    </row>
    <row r="3295" spans="2:9" ht="12.75">
      <c r="B3295" s="79" t="s">
        <v>343</v>
      </c>
      <c r="C3295" s="81">
        <f>(6/5)^1.66*E3295</f>
        <v>92.04784879697756</v>
      </c>
      <c r="D3295" s="80">
        <v>91.89</v>
      </c>
      <c r="E3295" s="80">
        <v>68.01</v>
      </c>
      <c r="F3295" s="82">
        <f>-((D3295-C3295)/D3295)</f>
        <v>0.001717801686555238</v>
      </c>
      <c r="G3295" s="81">
        <f>C3295-D3295</f>
        <v>0.15784879697756082</v>
      </c>
      <c r="H3295" s="80">
        <v>440</v>
      </c>
      <c r="I3295" s="80" t="s">
        <v>385</v>
      </c>
    </row>
    <row r="3296" spans="2:9" ht="12.75">
      <c r="B3296" s="79" t="s">
        <v>344</v>
      </c>
      <c r="C3296" s="81">
        <f>(6/5)^1.66*E3296</f>
        <v>77.93140911233594</v>
      </c>
      <c r="D3296" s="80">
        <v>80.01</v>
      </c>
      <c r="E3296" s="80">
        <v>57.58</v>
      </c>
      <c r="F3296" s="82">
        <f>-((D3296-C3296)/D3296)</f>
        <v>-0.025979138703462856</v>
      </c>
      <c r="G3296" s="81">
        <f>C3296-D3296</f>
        <v>-2.0785908876640633</v>
      </c>
      <c r="H3296" s="80">
        <v>440</v>
      </c>
      <c r="I3296" s="80" t="s">
        <v>385</v>
      </c>
    </row>
    <row r="3297" spans="2:9" ht="12.75">
      <c r="B3297" s="79" t="s">
        <v>366</v>
      </c>
      <c r="C3297" s="81">
        <f>(6/5)^1.66*E3297</f>
        <v>94.14568978558681</v>
      </c>
      <c r="D3297" s="80">
        <v>92.57</v>
      </c>
      <c r="E3297" s="80">
        <v>69.56</v>
      </c>
      <c r="F3297" s="82">
        <f>-((D3297-C3297)/D3297)</f>
        <v>0.01702160295545876</v>
      </c>
      <c r="G3297" s="81">
        <f>C3297-D3297</f>
        <v>1.5756897855868175</v>
      </c>
      <c r="H3297" s="80">
        <v>440</v>
      </c>
      <c r="I3297" s="80" t="s">
        <v>385</v>
      </c>
    </row>
    <row r="3298" spans="2:9" ht="12.75">
      <c r="B3298" s="79" t="s">
        <v>345</v>
      </c>
      <c r="C3298" s="81">
        <f>(6/5)^1.66*E3298</f>
        <v>76.06365390957417</v>
      </c>
      <c r="D3298" s="80">
        <v>82.53</v>
      </c>
      <c r="E3298" s="80">
        <v>56.2</v>
      </c>
      <c r="F3298" s="82">
        <f>-((D3298-C3298)/D3298)</f>
        <v>-0.07835146117079644</v>
      </c>
      <c r="G3298" s="81">
        <f>C3298-D3298</f>
        <v>-6.46634609042583</v>
      </c>
      <c r="H3298" s="80">
        <v>440</v>
      </c>
      <c r="I3298" s="80" t="s">
        <v>385</v>
      </c>
    </row>
    <row r="3299" spans="2:9" ht="12.75">
      <c r="B3299" s="79" t="s">
        <v>346</v>
      </c>
      <c r="C3299" s="81">
        <f>(6/5)^1.66*E3299</f>
        <v>72.73417724378142</v>
      </c>
      <c r="D3299" s="80">
        <v>72.46</v>
      </c>
      <c r="E3299" s="80">
        <v>53.74</v>
      </c>
      <c r="F3299" s="82">
        <f>-((D3299-C3299)/D3299)</f>
        <v>0.0037838427240052914</v>
      </c>
      <c r="G3299" s="81">
        <f>C3299-D3299</f>
        <v>0.2741772437814234</v>
      </c>
      <c r="H3299" s="80">
        <v>440</v>
      </c>
      <c r="I3299" s="80" t="s">
        <v>385</v>
      </c>
    </row>
    <row r="3300" spans="2:9" ht="12.75">
      <c r="B3300" s="79" t="s">
        <v>335</v>
      </c>
      <c r="C3300" s="81">
        <f>(6/5)^1.66*E3300</f>
        <v>67.64522103915509</v>
      </c>
      <c r="D3300" s="80">
        <v>67.22</v>
      </c>
      <c r="E3300" s="80">
        <v>49.98</v>
      </c>
      <c r="F3300" s="82">
        <f>-((D3300-C3300)/D3300)</f>
        <v>0.006325811353095661</v>
      </c>
      <c r="G3300" s="81">
        <f>C3300-D3300</f>
        <v>0.42522103915509035</v>
      </c>
      <c r="H3300" s="80">
        <v>440</v>
      </c>
      <c r="I3300" s="80" t="s">
        <v>385</v>
      </c>
    </row>
    <row r="3301" spans="2:9" ht="12.75">
      <c r="B3301" s="79" t="s">
        <v>317</v>
      </c>
      <c r="C3301" s="81">
        <f>(6/5)^1.66*E3301</f>
        <v>46.69388006904464</v>
      </c>
      <c r="D3301" s="80">
        <v>48.45</v>
      </c>
      <c r="E3301" s="80">
        <v>34.5</v>
      </c>
      <c r="F3301" s="82">
        <f>-((D3301-C3301)/D3301)</f>
        <v>-0.03624602540671546</v>
      </c>
      <c r="G3301" s="81">
        <f>C3301-D3301</f>
        <v>-1.7561199309553643</v>
      </c>
      <c r="H3301" s="80">
        <v>440</v>
      </c>
      <c r="I3301" s="80" t="s">
        <v>385</v>
      </c>
    </row>
    <row r="3302" spans="2:9" ht="12.75">
      <c r="B3302" s="79" t="s">
        <v>318</v>
      </c>
      <c r="C3302" s="81">
        <f>(6/5)^1.66*E3302</f>
        <v>65.37143209666249</v>
      </c>
      <c r="D3302" s="80">
        <v>64.89</v>
      </c>
      <c r="E3302" s="80">
        <v>48.3</v>
      </c>
      <c r="F3302" s="82">
        <f>-((D3302-C3302)/D3302)</f>
        <v>0.0074192032156339596</v>
      </c>
      <c r="G3302" s="81">
        <f>C3302-D3302</f>
        <v>0.48143209666248765</v>
      </c>
      <c r="H3302" s="80">
        <v>440</v>
      </c>
      <c r="I3302" s="80" t="s">
        <v>385</v>
      </c>
    </row>
    <row r="3303" spans="2:9" ht="12.75">
      <c r="B3303" s="79" t="s">
        <v>319</v>
      </c>
      <c r="C3303" s="81">
        <f>(6/5)^1.66*E3303</f>
        <v>44.13586750874045</v>
      </c>
      <c r="D3303" s="80">
        <v>43.32</v>
      </c>
      <c r="E3303" s="80">
        <v>32.61</v>
      </c>
      <c r="F3303" s="82">
        <f>-((D3303-C3303)/D3303)</f>
        <v>0.01883350666529209</v>
      </c>
      <c r="G3303" s="81">
        <f>C3303-D3303</f>
        <v>0.8158675087404532</v>
      </c>
      <c r="H3303" s="80">
        <v>440</v>
      </c>
      <c r="I3303" s="80" t="s">
        <v>385</v>
      </c>
    </row>
    <row r="3304" spans="2:9" ht="12.75">
      <c r="B3304" s="79" t="s">
        <v>285</v>
      </c>
      <c r="C3304" s="81">
        <f>(6/5)^1.66*E3304</f>
        <v>48.35861840194101</v>
      </c>
      <c r="D3304" s="80">
        <v>47.67</v>
      </c>
      <c r="E3304" s="80">
        <v>35.73</v>
      </c>
      <c r="F3304" s="82">
        <f>-((D3304-C3304)/D3304)</f>
        <v>0.014445529723956506</v>
      </c>
      <c r="G3304" s="81">
        <f>C3304-D3304</f>
        <v>0.6886184019410067</v>
      </c>
      <c r="H3304" s="80">
        <v>440</v>
      </c>
      <c r="I3304" s="80" t="s">
        <v>385</v>
      </c>
    </row>
    <row r="3305" spans="2:8" ht="12.75">
      <c r="B3305" s="79"/>
      <c r="C3305" s="81"/>
      <c r="D3305" s="80"/>
      <c r="E3305" s="80" t="s">
        <v>14</v>
      </c>
      <c r="F3305" s="82">
        <f>AVERAGE(F3289:F3304)</f>
        <v>0.00173577771132768</v>
      </c>
      <c r="G3305" s="81">
        <f>AVERAGE(G3289:G3304)</f>
        <v>-0.02269968076201323</v>
      </c>
      <c r="H3305" s="80"/>
    </row>
    <row r="3307" spans="1:9" ht="12.75">
      <c r="A3307" s="83" t="s">
        <v>0</v>
      </c>
      <c r="B3307" s="83" t="s">
        <v>1</v>
      </c>
      <c r="C3307" s="84" t="s">
        <v>247</v>
      </c>
      <c r="D3307" s="84" t="s">
        <v>194</v>
      </c>
      <c r="E3307" s="84" t="s">
        <v>218</v>
      </c>
      <c r="F3307" s="84" t="s">
        <v>5</v>
      </c>
      <c r="G3307" s="84" t="s">
        <v>6</v>
      </c>
      <c r="H3307" s="84" t="s">
        <v>7</v>
      </c>
      <c r="I3307" s="84" t="s">
        <v>8</v>
      </c>
    </row>
    <row r="3308" spans="1:9" ht="12.75">
      <c r="A3308" s="83" t="s">
        <v>387</v>
      </c>
      <c r="B3308" s="83" t="s">
        <v>339</v>
      </c>
      <c r="C3308" s="85">
        <f>(6/5)^2*E3308</f>
        <v>93.312</v>
      </c>
      <c r="D3308" s="84">
        <v>85.77</v>
      </c>
      <c r="E3308" s="84">
        <v>64.8</v>
      </c>
      <c r="F3308" s="86">
        <f>-((D3308-C3308)/D3308)</f>
        <v>0.08793284365162647</v>
      </c>
      <c r="G3308" s="85">
        <f>C3308-D3308</f>
        <v>7.542000000000002</v>
      </c>
      <c r="H3308" s="84">
        <v>440</v>
      </c>
      <c r="I3308" s="84" t="s">
        <v>385</v>
      </c>
    </row>
    <row r="3309" spans="1:9" ht="12.75">
      <c r="A3309" s="5"/>
      <c r="B3309" s="83" t="s">
        <v>340</v>
      </c>
      <c r="C3309" s="85">
        <f>(6/5)^2*E3309</f>
        <v>73.92960000000001</v>
      </c>
      <c r="D3309" s="84">
        <v>65.83</v>
      </c>
      <c r="E3309" s="84">
        <v>51.34</v>
      </c>
      <c r="F3309" s="86">
        <f>-((D3309-C3309)/D3309)</f>
        <v>0.12303812851283624</v>
      </c>
      <c r="G3309" s="85">
        <f>C3309-D3309</f>
        <v>8.09960000000001</v>
      </c>
      <c r="H3309" s="84">
        <v>440</v>
      </c>
      <c r="I3309" s="84" t="s">
        <v>385</v>
      </c>
    </row>
    <row r="3310" spans="1:9" ht="12.75">
      <c r="A3310" s="5"/>
      <c r="B3310" s="83" t="s">
        <v>341</v>
      </c>
      <c r="C3310" s="85">
        <f>(6/5)^2*E3310</f>
        <v>63.1008</v>
      </c>
      <c r="D3310" s="84">
        <v>59.39</v>
      </c>
      <c r="E3310" s="84">
        <v>43.82</v>
      </c>
      <c r="F3310" s="86">
        <f>-((D3310-C3310)/D3310)</f>
        <v>0.06248189930964807</v>
      </c>
      <c r="G3310" s="85">
        <f>C3310-D3310</f>
        <v>3.710799999999999</v>
      </c>
      <c r="H3310" s="84">
        <v>440</v>
      </c>
      <c r="I3310" s="84" t="s">
        <v>385</v>
      </c>
    </row>
    <row r="3311" spans="1:9" ht="12.75">
      <c r="A3311" s="5"/>
      <c r="B3311" s="83" t="s">
        <v>334</v>
      </c>
      <c r="C3311" s="85">
        <f>(6/5)^2*E3311</f>
        <v>60.5664</v>
      </c>
      <c r="D3311" s="84">
        <v>56.73</v>
      </c>
      <c r="E3311" s="84">
        <v>42.06</v>
      </c>
      <c r="F3311" s="86">
        <f>-((D3311-C3311)/D3311)</f>
        <v>0.06762559492332108</v>
      </c>
      <c r="G3311" s="85">
        <f>C3311-D3311</f>
        <v>3.8364000000000047</v>
      </c>
      <c r="H3311" s="84">
        <v>440</v>
      </c>
      <c r="I3311" s="84" t="s">
        <v>385</v>
      </c>
    </row>
    <row r="3312" spans="1:9" ht="12.75">
      <c r="A3312" s="5"/>
      <c r="B3312" s="83" t="s">
        <v>316</v>
      </c>
      <c r="C3312" s="85">
        <f>(6/5)^2*E3312</f>
        <v>50.61599999999999</v>
      </c>
      <c r="D3312" s="84">
        <v>45.46</v>
      </c>
      <c r="E3312" s="84">
        <v>35.15</v>
      </c>
      <c r="F3312" s="86">
        <f>-((D3312-C3312)/D3312)</f>
        <v>0.11341838979322463</v>
      </c>
      <c r="G3312" s="85">
        <f>C3312-D3312</f>
        <v>5.155999999999992</v>
      </c>
      <c r="H3312" s="84">
        <v>440</v>
      </c>
      <c r="I3312" s="84" t="s">
        <v>385</v>
      </c>
    </row>
    <row r="3313" spans="1:9" ht="12.75">
      <c r="A3313" s="5"/>
      <c r="B3313" s="83" t="s">
        <v>342</v>
      </c>
      <c r="C3313" s="85">
        <f>(6/5)^2*E3313</f>
        <v>85.36319999999999</v>
      </c>
      <c r="D3313" s="84">
        <v>82.53</v>
      </c>
      <c r="E3313" s="84">
        <v>59.28</v>
      </c>
      <c r="F3313" s="86">
        <f>-((D3313-C3313)/D3313)</f>
        <v>0.034329334787349945</v>
      </c>
      <c r="G3313" s="85">
        <f>C3313-D3313</f>
        <v>2.833199999999991</v>
      </c>
      <c r="H3313" s="84">
        <v>440</v>
      </c>
      <c r="I3313" s="84" t="s">
        <v>385</v>
      </c>
    </row>
    <row r="3314" spans="1:9" ht="12.75">
      <c r="A3314" s="5"/>
      <c r="B3314" s="83" t="s">
        <v>343</v>
      </c>
      <c r="C3314" s="85">
        <f>(6/5)^2*E3314</f>
        <v>97.93440000000001</v>
      </c>
      <c r="D3314" s="84">
        <v>91.89</v>
      </c>
      <c r="E3314" s="84">
        <v>68.01</v>
      </c>
      <c r="F3314" s="86">
        <f>-((D3314-C3314)/D3314)</f>
        <v>0.06577864838393743</v>
      </c>
      <c r="G3314" s="85">
        <f>C3314-D3314</f>
        <v>6.04440000000001</v>
      </c>
      <c r="H3314" s="84">
        <v>440</v>
      </c>
      <c r="I3314" s="84" t="s">
        <v>385</v>
      </c>
    </row>
    <row r="3315" spans="1:9" ht="12.75">
      <c r="A3315" s="5"/>
      <c r="B3315" s="83" t="s">
        <v>344</v>
      </c>
      <c r="C3315" s="85">
        <f>(6/5)^2*E3315</f>
        <v>82.9152</v>
      </c>
      <c r="D3315" s="84">
        <v>80.01</v>
      </c>
      <c r="E3315" s="84">
        <v>57.58</v>
      </c>
      <c r="F3315" s="86">
        <f>-((D3315-C3315)/D3315)</f>
        <v>0.036310461192350874</v>
      </c>
      <c r="G3315" s="85">
        <f>C3315-D3315</f>
        <v>2.9051999999999936</v>
      </c>
      <c r="H3315" s="84">
        <v>440</v>
      </c>
      <c r="I3315" s="84" t="s">
        <v>385</v>
      </c>
    </row>
    <row r="3316" spans="1:9" ht="12.75">
      <c r="A3316" s="5"/>
      <c r="B3316" s="83" t="s">
        <v>366</v>
      </c>
      <c r="C3316" s="85">
        <f>(6/5)^2*E3316</f>
        <v>100.1664</v>
      </c>
      <c r="D3316" s="84">
        <v>92.57</v>
      </c>
      <c r="E3316" s="84">
        <v>69.56</v>
      </c>
      <c r="F3316" s="86">
        <f>-((D3316-C3316)/D3316)</f>
        <v>0.08206114291887225</v>
      </c>
      <c r="G3316" s="85">
        <f>C3316-D3316</f>
        <v>7.596400000000003</v>
      </c>
      <c r="H3316" s="84">
        <v>440</v>
      </c>
      <c r="I3316" s="84" t="s">
        <v>385</v>
      </c>
    </row>
    <row r="3317" spans="1:9" ht="12.75">
      <c r="A3317" s="5"/>
      <c r="B3317" s="83" t="s">
        <v>345</v>
      </c>
      <c r="C3317" s="85">
        <f>(6/5)^2*E3317</f>
        <v>80.928</v>
      </c>
      <c r="D3317" s="84">
        <v>82.53</v>
      </c>
      <c r="E3317" s="84">
        <v>56.2</v>
      </c>
      <c r="F3317" s="86">
        <f>-((D3317-C3317)/D3317)</f>
        <v>-0.019411123227917167</v>
      </c>
      <c r="G3317" s="85">
        <f>C3317-D3317</f>
        <v>-1.6020000000000039</v>
      </c>
      <c r="H3317" s="84">
        <v>440</v>
      </c>
      <c r="I3317" s="84" t="s">
        <v>385</v>
      </c>
    </row>
    <row r="3318" spans="1:9" ht="12.75">
      <c r="A3318" s="5"/>
      <c r="B3318" s="83" t="s">
        <v>346</v>
      </c>
      <c r="C3318" s="85">
        <f>(6/5)^2*E3318</f>
        <v>77.3856</v>
      </c>
      <c r="D3318" s="84">
        <v>72.46</v>
      </c>
      <c r="E3318" s="84">
        <v>53.74</v>
      </c>
      <c r="F3318" s="86">
        <f>-((D3318-C3318)/D3318)</f>
        <v>0.06797681479436936</v>
      </c>
      <c r="G3318" s="85">
        <f>C3318-D3318</f>
        <v>4.925600000000003</v>
      </c>
      <c r="H3318" s="84">
        <v>440</v>
      </c>
      <c r="I3318" s="84" t="s">
        <v>385</v>
      </c>
    </row>
    <row r="3319" spans="1:9" ht="12.75">
      <c r="A3319" s="5"/>
      <c r="B3319" s="83" t="s">
        <v>335</v>
      </c>
      <c r="C3319" s="85">
        <f>(6/5)^2*E3319</f>
        <v>71.9712</v>
      </c>
      <c r="D3319" s="84">
        <v>67.22</v>
      </c>
      <c r="E3319" s="84">
        <v>49.98</v>
      </c>
      <c r="F3319" s="86">
        <f>-((D3319-C3319)/D3319)</f>
        <v>0.07068134483784584</v>
      </c>
      <c r="G3319" s="85">
        <f>C3319-D3319</f>
        <v>4.751199999999997</v>
      </c>
      <c r="H3319" s="84">
        <v>440</v>
      </c>
      <c r="I3319" s="84" t="s">
        <v>385</v>
      </c>
    </row>
    <row r="3320" spans="1:9" ht="12.75">
      <c r="A3320" s="5"/>
      <c r="B3320" s="83" t="s">
        <v>317</v>
      </c>
      <c r="C3320" s="85">
        <f>(6/5)^2*E3320</f>
        <v>49.68</v>
      </c>
      <c r="D3320" s="84">
        <v>48.45</v>
      </c>
      <c r="E3320" s="84">
        <v>34.5</v>
      </c>
      <c r="F3320" s="86">
        <f>-((D3320-C3320)/D3320)</f>
        <v>0.0253869969040247</v>
      </c>
      <c r="G3320" s="85">
        <f>C3320-D3320</f>
        <v>1.2299999999999969</v>
      </c>
      <c r="H3320" s="84">
        <v>440</v>
      </c>
      <c r="I3320" s="84" t="s">
        <v>385</v>
      </c>
    </row>
    <row r="3321" spans="1:9" ht="12.75">
      <c r="A3321" s="5"/>
      <c r="B3321" s="83" t="s">
        <v>318</v>
      </c>
      <c r="C3321" s="85">
        <f>(6/5)^2*E3321</f>
        <v>69.55199999999999</v>
      </c>
      <c r="D3321" s="84">
        <v>64.89</v>
      </c>
      <c r="E3321" s="84">
        <v>48.3</v>
      </c>
      <c r="F3321" s="86">
        <f>-((D3321-C3321)/D3321)</f>
        <v>0.07184466019417463</v>
      </c>
      <c r="G3321" s="85">
        <f>C3321-D3321</f>
        <v>4.661999999999992</v>
      </c>
      <c r="H3321" s="84">
        <v>440</v>
      </c>
      <c r="I3321" s="84" t="s">
        <v>385</v>
      </c>
    </row>
    <row r="3322" spans="1:9" ht="12.75">
      <c r="A3322" s="5"/>
      <c r="B3322" s="83" t="s">
        <v>319</v>
      </c>
      <c r="C3322" s="85">
        <f>(6/5)^2*E3322</f>
        <v>46.9584</v>
      </c>
      <c r="D3322" s="84">
        <v>43.32</v>
      </c>
      <c r="E3322" s="84">
        <v>32.61</v>
      </c>
      <c r="F3322" s="86">
        <f>-((D3322-C3322)/D3322)</f>
        <v>0.08398891966758996</v>
      </c>
      <c r="G3322" s="85">
        <f>C3322-D3322</f>
        <v>3.638399999999997</v>
      </c>
      <c r="H3322" s="84">
        <v>440</v>
      </c>
      <c r="I3322" s="84" t="s">
        <v>385</v>
      </c>
    </row>
    <row r="3323" spans="1:9" ht="12.75">
      <c r="A3323" s="5"/>
      <c r="B3323" s="83" t="s">
        <v>285</v>
      </c>
      <c r="C3323" s="85">
        <f>(6/5)^2*E3323</f>
        <v>51.45119999999999</v>
      </c>
      <c r="D3323" s="84">
        <v>47.67</v>
      </c>
      <c r="E3323" s="84">
        <v>35.73</v>
      </c>
      <c r="F3323" s="86">
        <f>-((D3323-C3323)/D3323)</f>
        <v>0.07932032724984248</v>
      </c>
      <c r="G3323" s="85">
        <f>C3323-D3323</f>
        <v>3.7811999999999912</v>
      </c>
      <c r="H3323" s="84">
        <v>440</v>
      </c>
      <c r="I3323" s="84" t="s">
        <v>385</v>
      </c>
    </row>
    <row r="3324" spans="1:9" ht="12.75">
      <c r="A3324" s="5"/>
      <c r="B3324" s="83"/>
      <c r="C3324" s="85"/>
      <c r="D3324" s="84"/>
      <c r="E3324" s="84" t="s">
        <v>14</v>
      </c>
      <c r="F3324" s="86">
        <f>AVERAGE(F3308:F3323)</f>
        <v>0.06579777399331854</v>
      </c>
      <c r="G3324" s="85">
        <f>AVERAGE(G3308:G3323)</f>
        <v>4.319399999999998</v>
      </c>
      <c r="H3324" s="84"/>
      <c r="I3324" s="5"/>
    </row>
    <row r="3325" spans="1:9" ht="12.75">
      <c r="A3325" s="5"/>
      <c r="B3325" s="83"/>
      <c r="C3325" s="85"/>
      <c r="D3325" s="84"/>
      <c r="E3325" s="84"/>
      <c r="F3325" s="86"/>
      <c r="G3325" s="85"/>
      <c r="H3325" s="84"/>
      <c r="I3325" s="5"/>
    </row>
    <row r="3326" spans="1:9" ht="12.75">
      <c r="A3326" s="88" t="s">
        <v>0</v>
      </c>
      <c r="B3326" s="88" t="s">
        <v>1</v>
      </c>
      <c r="C3326" s="89" t="s">
        <v>388</v>
      </c>
      <c r="D3326" s="89" t="s">
        <v>193</v>
      </c>
      <c r="E3326" s="89" t="s">
        <v>194</v>
      </c>
      <c r="F3326" s="89" t="s">
        <v>5</v>
      </c>
      <c r="G3326" s="89" t="s">
        <v>6</v>
      </c>
      <c r="H3326" s="89" t="s">
        <v>7</v>
      </c>
      <c r="I3326" s="89" t="s">
        <v>8</v>
      </c>
    </row>
    <row r="3327" spans="1:9" ht="12.75">
      <c r="A3327" s="88" t="s">
        <v>387</v>
      </c>
      <c r="B3327" s="88" t="s">
        <v>339</v>
      </c>
      <c r="C3327" s="102">
        <f>(7/6)^1.81*E3327</f>
        <v>113.37285916625156</v>
      </c>
      <c r="D3327" s="89">
        <v>104.31</v>
      </c>
      <c r="E3327" s="89">
        <v>85.77</v>
      </c>
      <c r="F3327" s="103">
        <f>-((D3327-C3327)/D3327)</f>
        <v>0.08688389575545542</v>
      </c>
      <c r="G3327" s="102">
        <f>C3327-D3327</f>
        <v>9.062859166251556</v>
      </c>
      <c r="H3327" s="89">
        <v>440</v>
      </c>
      <c r="I3327" s="89" t="s">
        <v>385</v>
      </c>
    </row>
    <row r="3328" spans="1:9" ht="12.75">
      <c r="A3328" s="98"/>
      <c r="B3328" s="88" t="s">
        <v>340</v>
      </c>
      <c r="C3328" s="102">
        <f>(7/6)^1.81*E3328</f>
        <v>87.0156851919592</v>
      </c>
      <c r="D3328" s="89">
        <v>83.33</v>
      </c>
      <c r="E3328" s="89">
        <v>65.83</v>
      </c>
      <c r="F3328" s="103">
        <f>-((D3328-C3328)/D3328)</f>
        <v>0.04422999150317047</v>
      </c>
      <c r="G3328" s="102">
        <f>C3328-D3328</f>
        <v>3.6856851919591946</v>
      </c>
      <c r="H3328" s="89">
        <v>440</v>
      </c>
      <c r="I3328" s="89" t="s">
        <v>385</v>
      </c>
    </row>
    <row r="3329" spans="1:9" ht="12.75">
      <c r="A3329" s="98"/>
      <c r="B3329" s="88" t="s">
        <v>341</v>
      </c>
      <c r="C3329" s="102">
        <f>(7/6)^1.81*E3329</f>
        <v>78.50313752924893</v>
      </c>
      <c r="D3329" s="89">
        <v>76</v>
      </c>
      <c r="E3329" s="89">
        <v>59.39</v>
      </c>
      <c r="F3329" s="103">
        <f>-((D3329-C3329)/D3329)</f>
        <v>0.03293602012169647</v>
      </c>
      <c r="G3329" s="102">
        <f>C3329-D3329</f>
        <v>2.5031375292489315</v>
      </c>
      <c r="H3329" s="89">
        <v>440</v>
      </c>
      <c r="I3329" s="89" t="s">
        <v>385</v>
      </c>
    </row>
    <row r="3330" spans="1:9" ht="12.75">
      <c r="A3330" s="98"/>
      <c r="B3330" s="88" t="s">
        <v>334</v>
      </c>
      <c r="C3330" s="102">
        <f>(7/6)^1.81*E3330</f>
        <v>74.98708523378164</v>
      </c>
      <c r="D3330" s="89">
        <v>72.22</v>
      </c>
      <c r="E3330" s="89">
        <v>56.73</v>
      </c>
      <c r="F3330" s="103">
        <f>-((D3330-C3330)/D3330)</f>
        <v>0.03831466676518475</v>
      </c>
      <c r="G3330" s="102">
        <f>C3330-D3330</f>
        <v>2.7670852337816427</v>
      </c>
      <c r="H3330" s="89">
        <v>440</v>
      </c>
      <c r="I3330" s="89" t="s">
        <v>385</v>
      </c>
    </row>
    <row r="3331" spans="1:9" ht="12.75">
      <c r="A3331" s="98"/>
      <c r="B3331" s="88" t="s">
        <v>316</v>
      </c>
      <c r="C3331" s="102">
        <f>(7/6)^1.81*E3331</f>
        <v>60.09012682403866</v>
      </c>
      <c r="D3331" s="89">
        <v>60.9</v>
      </c>
      <c r="E3331" s="89">
        <v>45.46</v>
      </c>
      <c r="F3331" s="103">
        <f>-((D3331-C3331)/D3331)</f>
        <v>-0.013298410114307649</v>
      </c>
      <c r="G3331" s="102">
        <f>C3331-D3331</f>
        <v>-0.8098731759613358</v>
      </c>
      <c r="H3331" s="89">
        <v>440</v>
      </c>
      <c r="I3331" s="89" t="s">
        <v>385</v>
      </c>
    </row>
    <row r="3332" spans="1:9" ht="12.75">
      <c r="A3332" s="98"/>
      <c r="B3332" s="88" t="s">
        <v>312</v>
      </c>
      <c r="C3332" s="102">
        <f>(7/6)^1.81*E3332</f>
        <v>53.17698640851464</v>
      </c>
      <c r="D3332" s="89">
        <v>51.67</v>
      </c>
      <c r="E3332" s="89">
        <v>40.23</v>
      </c>
      <c r="F3332" s="103">
        <f>-((D3332-C3332)/D3332)</f>
        <v>0.02916559722304306</v>
      </c>
      <c r="G3332" s="102">
        <f>C3332-D3332</f>
        <v>1.506986408514635</v>
      </c>
      <c r="H3332" s="89">
        <v>440</v>
      </c>
      <c r="I3332" s="89" t="s">
        <v>385</v>
      </c>
    </row>
    <row r="3333" spans="1:9" ht="12.75">
      <c r="A3333" s="98"/>
      <c r="B3333" s="88" t="s">
        <v>346</v>
      </c>
      <c r="C3333" s="102">
        <f>(7/6)^1.81*E3333</f>
        <v>95.77937944720284</v>
      </c>
      <c r="D3333" s="89">
        <v>97.11</v>
      </c>
      <c r="E3333" s="89">
        <v>72.46</v>
      </c>
      <c r="F3333" s="103">
        <f>-((D3333-C3333)/D3333)</f>
        <v>-0.013702199081424745</v>
      </c>
      <c r="G3333" s="102">
        <f>C3333-D3333</f>
        <v>-1.330620552797157</v>
      </c>
      <c r="H3333" s="89">
        <v>440</v>
      </c>
      <c r="I3333" s="89" t="s">
        <v>385</v>
      </c>
    </row>
    <row r="3334" spans="1:9" ht="12.75">
      <c r="A3334" s="98"/>
      <c r="B3334" s="88" t="s">
        <v>335</v>
      </c>
      <c r="C3334" s="102">
        <f>(7/6)^1.81*E3334</f>
        <v>88.85302078996654</v>
      </c>
      <c r="D3334" s="89">
        <v>93.87</v>
      </c>
      <c r="E3334" s="89">
        <v>67.22</v>
      </c>
      <c r="F3334" s="103">
        <f>-((D3334-C3334)/D3334)</f>
        <v>-0.05344603398352475</v>
      </c>
      <c r="G3334" s="102">
        <f>C3334-D3334</f>
        <v>-5.016979210033469</v>
      </c>
      <c r="H3334" s="89">
        <v>440</v>
      </c>
      <c r="I3334" s="89" t="s">
        <v>385</v>
      </c>
    </row>
    <row r="3335" spans="1:9" ht="12.75">
      <c r="A3335" s="98"/>
      <c r="B3335" s="88" t="s">
        <v>317</v>
      </c>
      <c r="C3335" s="102">
        <f>(7/6)^1.81*E3335</f>
        <v>64.0423810960113</v>
      </c>
      <c r="D3335" s="89">
        <v>65.24</v>
      </c>
      <c r="E3335" s="89">
        <v>48.45</v>
      </c>
      <c r="F3335" s="103">
        <f>-((D3335-C3335)/D3335)</f>
        <v>-0.01835712605746011</v>
      </c>
      <c r="G3335" s="102">
        <f>C3335-D3335</f>
        <v>-1.1976189039886975</v>
      </c>
      <c r="H3335" s="89">
        <v>440</v>
      </c>
      <c r="I3335" s="89" t="s">
        <v>385</v>
      </c>
    </row>
    <row r="3336" spans="1:9" ht="12.75">
      <c r="A3336" s="98"/>
      <c r="B3336" s="88" t="s">
        <v>283</v>
      </c>
      <c r="C3336" s="102">
        <f>(7/6)^1.81*E3336</f>
        <v>59.019449245343736</v>
      </c>
      <c r="D3336" s="89">
        <v>58.57</v>
      </c>
      <c r="E3336" s="89">
        <v>44.65</v>
      </c>
      <c r="F3336" s="103">
        <f>-((D3336-C3336)/D3336)</f>
        <v>0.00767371086467024</v>
      </c>
      <c r="G3336" s="102">
        <f>C3336-D3336</f>
        <v>0.449449245343736</v>
      </c>
      <c r="H3336" s="89">
        <v>440</v>
      </c>
      <c r="I3336" s="89" t="s">
        <v>385</v>
      </c>
    </row>
    <row r="3337" spans="1:9" ht="12.75">
      <c r="A3337" s="98"/>
      <c r="B3337" s="88" t="s">
        <v>288</v>
      </c>
      <c r="C3337" s="102">
        <f>(7/6)^1.81*E3337</f>
        <v>43.25008688259008</v>
      </c>
      <c r="D3337" s="89">
        <v>42.88</v>
      </c>
      <c r="E3337" s="89">
        <v>32.72</v>
      </c>
      <c r="F3337" s="103">
        <f>-((D3337-C3337)/D3337)</f>
        <v>0.008630757523089548</v>
      </c>
      <c r="G3337" s="102">
        <f>C3337-D3337</f>
        <v>0.3700868825900798</v>
      </c>
      <c r="H3337" s="89">
        <v>440</v>
      </c>
      <c r="I3337" s="89" t="s">
        <v>385</v>
      </c>
    </row>
    <row r="3338" spans="1:9" ht="12.75">
      <c r="A3338" s="98"/>
      <c r="B3338" s="88" t="s">
        <v>319</v>
      </c>
      <c r="C3338" s="102">
        <f>(7/6)^1.81*E3338</f>
        <v>57.2614230976101</v>
      </c>
      <c r="D3338" s="89">
        <v>58.38</v>
      </c>
      <c r="E3338" s="89">
        <v>43.32</v>
      </c>
      <c r="F3338" s="103">
        <f>-((D3338-C3338)/D3338)</f>
        <v>-0.019160275820313533</v>
      </c>
      <c r="G3338" s="102">
        <f>C3338-D3338</f>
        <v>-1.1185769023899041</v>
      </c>
      <c r="H3338" s="89">
        <v>440</v>
      </c>
      <c r="I3338" s="89" t="s">
        <v>385</v>
      </c>
    </row>
    <row r="3339" spans="1:9" ht="12.75">
      <c r="A3339" s="98"/>
      <c r="B3339" s="88" t="s">
        <v>320</v>
      </c>
      <c r="C3339" s="102">
        <f>(7/6)^1.81*E3339</f>
        <v>58.75508441109808</v>
      </c>
      <c r="D3339" s="89">
        <v>60.19</v>
      </c>
      <c r="E3339" s="89">
        <v>44.45</v>
      </c>
      <c r="F3339" s="103">
        <f>-((D3339-C3339)/D3339)</f>
        <v>-0.02383976721883894</v>
      </c>
      <c r="G3339" s="102">
        <f>C3339-D3339</f>
        <v>-1.4349155889019158</v>
      </c>
      <c r="H3339" s="89">
        <v>440</v>
      </c>
      <c r="I3339" s="89" t="s">
        <v>385</v>
      </c>
    </row>
    <row r="3340" spans="1:9" ht="12.75">
      <c r="A3340" s="98"/>
      <c r="B3340" s="88" t="s">
        <v>284</v>
      </c>
      <c r="C3340" s="102">
        <f>(7/6)^1.81*E3340</f>
        <v>57.20855013076096</v>
      </c>
      <c r="D3340" s="89">
        <v>60.25</v>
      </c>
      <c r="E3340" s="89">
        <v>43.28</v>
      </c>
      <c r="F3340" s="103">
        <f>-((D3340-C3340)/D3340)</f>
        <v>-0.05048049575500478</v>
      </c>
      <c r="G3340" s="102">
        <f>C3340-D3340</f>
        <v>-3.041449869239038</v>
      </c>
      <c r="H3340" s="89">
        <v>440</v>
      </c>
      <c r="I3340" s="89" t="s">
        <v>385</v>
      </c>
    </row>
    <row r="3341" spans="1:9" ht="12.75">
      <c r="A3341" s="98"/>
      <c r="B3341" s="88" t="s">
        <v>286</v>
      </c>
      <c r="C3341" s="102">
        <f>(7/6)^1.81*E3341</f>
        <v>48.15405455784708</v>
      </c>
      <c r="D3341" s="89">
        <v>50.04</v>
      </c>
      <c r="E3341" s="89">
        <v>36.43</v>
      </c>
      <c r="F3341" s="103">
        <f>-((D3341-C3341)/D3341)</f>
        <v>-0.0376887578367889</v>
      </c>
      <c r="G3341" s="102">
        <f>C3341-D3341</f>
        <v>-1.8859454421529165</v>
      </c>
      <c r="H3341" s="89">
        <v>440</v>
      </c>
      <c r="I3341" s="89" t="s">
        <v>385</v>
      </c>
    </row>
    <row r="3342" spans="1:9" ht="12.75">
      <c r="A3342" s="98"/>
      <c r="B3342" s="88"/>
      <c r="C3342" s="102"/>
      <c r="D3342" s="89"/>
      <c r="E3342" s="89" t="s">
        <v>14</v>
      </c>
      <c r="F3342" s="103">
        <f>AVERAGE(F3327:F3341)</f>
        <v>0.0011907715925764367</v>
      </c>
      <c r="G3342" s="102">
        <f>AVERAGE(G3327:G3341)</f>
        <v>0.3006206674816895</v>
      </c>
      <c r="H3342" s="89"/>
      <c r="I3342" s="98"/>
    </row>
    <row r="3344" spans="1:9" ht="12.75">
      <c r="A3344" s="98" t="s">
        <v>0</v>
      </c>
      <c r="B3344" s="98" t="s">
        <v>1</v>
      </c>
      <c r="C3344" s="100" t="s">
        <v>203</v>
      </c>
      <c r="D3344" s="100" t="s">
        <v>193</v>
      </c>
      <c r="E3344" s="100" t="s">
        <v>194</v>
      </c>
      <c r="F3344" s="100" t="s">
        <v>5</v>
      </c>
      <c r="G3344" s="100" t="s">
        <v>6</v>
      </c>
      <c r="H3344" s="100" t="s">
        <v>7</v>
      </c>
      <c r="I3344" s="100" t="s">
        <v>8</v>
      </c>
    </row>
    <row r="3345" spans="1:9" ht="12.75">
      <c r="A3345" s="98" t="s">
        <v>387</v>
      </c>
      <c r="B3345" s="88" t="s">
        <v>339</v>
      </c>
      <c r="C3345" s="102">
        <f>(7/6)^2*E3345</f>
        <v>116.74250000000002</v>
      </c>
      <c r="D3345" s="89">
        <v>104.31</v>
      </c>
      <c r="E3345" s="89">
        <v>85.77</v>
      </c>
      <c r="F3345" s="101">
        <f>-((D3345-C3345)/D3345)</f>
        <v>0.11918799731569378</v>
      </c>
      <c r="G3345" s="102">
        <f>C3345-D3345</f>
        <v>12.432500000000019</v>
      </c>
      <c r="H3345" s="89">
        <v>440</v>
      </c>
      <c r="I3345" s="89" t="s">
        <v>385</v>
      </c>
    </row>
    <row r="3346" spans="1:9" ht="12.75">
      <c r="A3346" s="98"/>
      <c r="B3346" s="98" t="s">
        <v>340</v>
      </c>
      <c r="C3346" s="99">
        <f>(7/6)^2*E3346</f>
        <v>89.60194444444446</v>
      </c>
      <c r="D3346" s="100">
        <v>83.33</v>
      </c>
      <c r="E3346" s="100">
        <v>65.83</v>
      </c>
      <c r="F3346" s="101">
        <f>-((D3346-C3346)/D3346)</f>
        <v>0.07526634398709298</v>
      </c>
      <c r="G3346" s="99">
        <f>C3346-D3346</f>
        <v>6.271944444444458</v>
      </c>
      <c r="H3346" s="100">
        <v>440</v>
      </c>
      <c r="I3346" s="100" t="s">
        <v>385</v>
      </c>
    </row>
    <row r="3347" spans="1:9" ht="12.75">
      <c r="A3347" s="98"/>
      <c r="B3347" s="98" t="s">
        <v>341</v>
      </c>
      <c r="C3347" s="99">
        <f>(7/6)^2*E3347</f>
        <v>80.8363888888889</v>
      </c>
      <c r="D3347" s="100">
        <v>76</v>
      </c>
      <c r="E3347" s="100">
        <v>59.39</v>
      </c>
      <c r="F3347" s="101">
        <f>-((D3347-C3347)/D3347)</f>
        <v>0.06363669590643296</v>
      </c>
      <c r="G3347" s="99">
        <f>C3347-D3347</f>
        <v>4.836388888888905</v>
      </c>
      <c r="H3347" s="100">
        <v>440</v>
      </c>
      <c r="I3347" s="100" t="s">
        <v>385</v>
      </c>
    </row>
    <row r="3348" spans="1:9" ht="12.75">
      <c r="A3348" s="98"/>
      <c r="B3348" s="98" t="s">
        <v>334</v>
      </c>
      <c r="C3348" s="99">
        <f>(7/6)^2*E3348</f>
        <v>77.21583333333335</v>
      </c>
      <c r="D3348" s="100">
        <v>72.22</v>
      </c>
      <c r="E3348" s="100">
        <v>56.73</v>
      </c>
      <c r="F3348" s="101">
        <f>-((D3348-C3348)/D3348)</f>
        <v>0.06917520539093536</v>
      </c>
      <c r="G3348" s="99">
        <f>C3348-D3348</f>
        <v>4.995833333333351</v>
      </c>
      <c r="H3348" s="100">
        <v>440</v>
      </c>
      <c r="I3348" s="100" t="s">
        <v>385</v>
      </c>
    </row>
    <row r="3349" spans="1:9" ht="12.75">
      <c r="A3349" s="98"/>
      <c r="B3349" s="98" t="s">
        <v>316</v>
      </c>
      <c r="C3349" s="99">
        <f>(7/6)^2*E3349</f>
        <v>61.87611111111112</v>
      </c>
      <c r="D3349" s="100">
        <v>60.9</v>
      </c>
      <c r="E3349" s="100">
        <v>45.46</v>
      </c>
      <c r="F3349" s="101">
        <f>-((D3349-C3349)/D3349)</f>
        <v>0.016028097062580023</v>
      </c>
      <c r="G3349" s="99">
        <f>C3349-D3349</f>
        <v>0.9761111111111234</v>
      </c>
      <c r="H3349" s="100">
        <v>440</v>
      </c>
      <c r="I3349" s="100" t="s">
        <v>385</v>
      </c>
    </row>
    <row r="3350" spans="1:9" ht="12.75">
      <c r="A3350" s="98"/>
      <c r="B3350" s="98" t="s">
        <v>312</v>
      </c>
      <c r="C3350" s="99">
        <f>(7/6)^2*E3350</f>
        <v>54.75750000000001</v>
      </c>
      <c r="D3350" s="100">
        <v>51.67</v>
      </c>
      <c r="E3350" s="100">
        <v>40.23</v>
      </c>
      <c r="F3350" s="101">
        <f>-((D3350-C3350)/D3350)</f>
        <v>0.059754209405844895</v>
      </c>
      <c r="G3350" s="99">
        <f>C3350-D3350</f>
        <v>3.0875000000000057</v>
      </c>
      <c r="H3350" s="100">
        <v>440</v>
      </c>
      <c r="I3350" s="100" t="s">
        <v>385</v>
      </c>
    </row>
    <row r="3351" spans="1:9" ht="12.75">
      <c r="A3351" s="98"/>
      <c r="B3351" s="98" t="s">
        <v>346</v>
      </c>
      <c r="C3351" s="99">
        <f>(7/6)^2*E3351</f>
        <v>98.62611111111113</v>
      </c>
      <c r="D3351" s="100">
        <v>97.11</v>
      </c>
      <c r="E3351" s="100">
        <v>72.46</v>
      </c>
      <c r="F3351" s="101">
        <f>-((D3351-C3351)/D3351)</f>
        <v>0.015612306776965602</v>
      </c>
      <c r="G3351" s="99">
        <f>C3351-D3351</f>
        <v>1.5161111111111296</v>
      </c>
      <c r="H3351" s="100">
        <v>440</v>
      </c>
      <c r="I3351" s="100" t="s">
        <v>385</v>
      </c>
    </row>
    <row r="3352" spans="1:9" ht="12.75">
      <c r="A3352" s="98"/>
      <c r="B3352" s="98" t="s">
        <v>335</v>
      </c>
      <c r="C3352" s="99">
        <f>(7/6)^2*E3352</f>
        <v>91.4938888888889</v>
      </c>
      <c r="D3352" s="100">
        <v>93.87</v>
      </c>
      <c r="E3352" s="100">
        <v>67.22</v>
      </c>
      <c r="F3352" s="101">
        <f>-((D3352-C3352)/D3352)</f>
        <v>-0.025312784820614685</v>
      </c>
      <c r="G3352" s="99">
        <f>C3352-D3352</f>
        <v>-2.3761111111111006</v>
      </c>
      <c r="H3352" s="100">
        <v>440</v>
      </c>
      <c r="I3352" s="100" t="s">
        <v>385</v>
      </c>
    </row>
    <row r="3353" spans="1:9" ht="12.75">
      <c r="A3353" s="98"/>
      <c r="B3353" s="98" t="s">
        <v>317</v>
      </c>
      <c r="C3353" s="99">
        <f>(7/6)^2*E3353</f>
        <v>65.94583333333335</v>
      </c>
      <c r="D3353" s="100">
        <v>65.24</v>
      </c>
      <c r="E3353" s="100">
        <v>48.45</v>
      </c>
      <c r="F3353" s="101">
        <f>-((D3353-C3353)/D3353)</f>
        <v>0.010819027181688525</v>
      </c>
      <c r="G3353" s="99">
        <f>C3353-D3353</f>
        <v>0.7058333333333593</v>
      </c>
      <c r="H3353" s="100">
        <v>440</v>
      </c>
      <c r="I3353" s="100" t="s">
        <v>385</v>
      </c>
    </row>
    <row r="3354" spans="1:9" ht="12.75">
      <c r="A3354" s="98"/>
      <c r="B3354" s="98" t="s">
        <v>283</v>
      </c>
      <c r="C3354" s="99">
        <f>(7/6)^2*E3354</f>
        <v>60.77361111111112</v>
      </c>
      <c r="D3354" s="100">
        <v>58.57</v>
      </c>
      <c r="E3354" s="100">
        <v>44.65</v>
      </c>
      <c r="F3354" s="101">
        <f>-((D3354-C3354)/D3354)</f>
        <v>0.03762354637375999</v>
      </c>
      <c r="G3354" s="99">
        <f>C3354-D3354</f>
        <v>2.2036111111111225</v>
      </c>
      <c r="H3354" s="100">
        <v>440</v>
      </c>
      <c r="I3354" s="100" t="s">
        <v>385</v>
      </c>
    </row>
    <row r="3355" spans="1:9" ht="12.75">
      <c r="A3355" s="98"/>
      <c r="B3355" s="98" t="s">
        <v>288</v>
      </c>
      <c r="C3355" s="99">
        <f>(7/6)^2*E3355</f>
        <v>44.53555555555556</v>
      </c>
      <c r="D3355" s="100">
        <v>42.88</v>
      </c>
      <c r="E3355" s="100">
        <v>32.72</v>
      </c>
      <c r="F3355" s="101">
        <f>-((D3355-C3355)/D3355)</f>
        <v>0.0386090381426203</v>
      </c>
      <c r="G3355" s="99">
        <f>C3355-D3355</f>
        <v>1.6555555555555586</v>
      </c>
      <c r="H3355" s="100">
        <v>440</v>
      </c>
      <c r="I3355" s="100" t="s">
        <v>385</v>
      </c>
    </row>
    <row r="3356" spans="1:9" ht="12.75">
      <c r="A3356" s="98"/>
      <c r="B3356" s="98" t="s">
        <v>319</v>
      </c>
      <c r="C3356" s="99">
        <f>(7/6)^2*E3356</f>
        <v>58.963333333333345</v>
      </c>
      <c r="D3356" s="100">
        <v>58.38</v>
      </c>
      <c r="E3356" s="100">
        <v>43.32</v>
      </c>
      <c r="F3356" s="101">
        <f>-((D3356-C3356)/D3356)</f>
        <v>0.009992006394884255</v>
      </c>
      <c r="G3356" s="99">
        <f>C3356-D3356</f>
        <v>0.5833333333333428</v>
      </c>
      <c r="H3356" s="100">
        <v>440</v>
      </c>
      <c r="I3356" s="100" t="s">
        <v>385</v>
      </c>
    </row>
    <row r="3357" spans="1:9" ht="12.75">
      <c r="A3357" s="98"/>
      <c r="B3357" s="98" t="s">
        <v>320</v>
      </c>
      <c r="C3357" s="99">
        <f>(7/6)^2*E3357</f>
        <v>60.501388888888904</v>
      </c>
      <c r="D3357" s="100">
        <v>60.19</v>
      </c>
      <c r="E3357" s="100">
        <v>44.45</v>
      </c>
      <c r="F3357" s="101">
        <f>-((D3357-C3357)/D3357)</f>
        <v>0.005173432279264105</v>
      </c>
      <c r="G3357" s="99">
        <f>C3357-D3357</f>
        <v>0.3113888888889065</v>
      </c>
      <c r="H3357" s="100">
        <v>440</v>
      </c>
      <c r="I3357" s="100" t="s">
        <v>385</v>
      </c>
    </row>
    <row r="3358" spans="1:9" ht="12.75">
      <c r="A3358" s="98"/>
      <c r="B3358" s="98" t="s">
        <v>284</v>
      </c>
      <c r="C3358" s="99">
        <f>(7/6)^2*E3358</f>
        <v>58.9088888888889</v>
      </c>
      <c r="D3358" s="100">
        <v>60.25</v>
      </c>
      <c r="E3358" s="100">
        <v>43.28</v>
      </c>
      <c r="F3358" s="101">
        <f>-((D3358-C3358)/D3358)</f>
        <v>-0.022259105578607417</v>
      </c>
      <c r="G3358" s="99">
        <f>C3358-D3358</f>
        <v>-1.341111111111097</v>
      </c>
      <c r="H3358" s="100">
        <v>440</v>
      </c>
      <c r="I3358" s="100" t="s">
        <v>385</v>
      </c>
    </row>
    <row r="3359" spans="1:9" ht="12.75">
      <c r="A3359" s="98"/>
      <c r="B3359" s="98" t="s">
        <v>286</v>
      </c>
      <c r="C3359" s="99">
        <f>(7/6)^2*E3359</f>
        <v>49.58527777777779</v>
      </c>
      <c r="D3359" s="100">
        <v>50.04</v>
      </c>
      <c r="E3359" s="100">
        <v>36.43</v>
      </c>
      <c r="F3359" s="101">
        <f>-((D3359-C3359)/D3359)</f>
        <v>-0.009087174704680434</v>
      </c>
      <c r="G3359" s="99">
        <f>C3359-D3359</f>
        <v>-0.4547222222222089</v>
      </c>
      <c r="H3359" s="100">
        <v>440</v>
      </c>
      <c r="I3359" s="100" t="s">
        <v>385</v>
      </c>
    </row>
    <row r="3360" spans="1:9" ht="12.75">
      <c r="A3360" s="98"/>
      <c r="B3360" s="98"/>
      <c r="C3360" s="99"/>
      <c r="D3360" s="100"/>
      <c r="E3360" s="100" t="s">
        <v>14</v>
      </c>
      <c r="F3360" s="101">
        <f>AVERAGE(F3345:F3359)</f>
        <v>0.030947922740924012</v>
      </c>
      <c r="G3360" s="99">
        <f>AVERAGE(G3345:G3359)</f>
        <v>2.3602777777777915</v>
      </c>
      <c r="H3360" s="100"/>
      <c r="I3360" s="98"/>
    </row>
    <row r="3361" spans="1:9" ht="12.75">
      <c r="A3361" s="98"/>
      <c r="B3361" s="98"/>
      <c r="C3361" s="99"/>
      <c r="D3361" s="100"/>
      <c r="E3361" s="100"/>
      <c r="F3361" s="101"/>
      <c r="G3361" s="99"/>
      <c r="H3361" s="100"/>
      <c r="I3361" s="98"/>
    </row>
    <row r="3362" spans="1:9" ht="12.75">
      <c r="A3362" s="79" t="s">
        <v>0</v>
      </c>
      <c r="B3362" s="79" t="s">
        <v>1</v>
      </c>
      <c r="C3362" s="80" t="s">
        <v>291</v>
      </c>
      <c r="D3362" s="80" t="s">
        <v>194</v>
      </c>
      <c r="E3362" s="80" t="s">
        <v>218</v>
      </c>
      <c r="F3362" s="80" t="s">
        <v>5</v>
      </c>
      <c r="G3362" s="80" t="s">
        <v>6</v>
      </c>
      <c r="H3362" s="80" t="s">
        <v>7</v>
      </c>
      <c r="I3362" s="80" t="s">
        <v>8</v>
      </c>
    </row>
    <row r="3363" spans="1:9" ht="12.75">
      <c r="A3363" s="79" t="s">
        <v>389</v>
      </c>
      <c r="B3363" s="79" t="s">
        <v>334</v>
      </c>
      <c r="C3363" s="81">
        <f>(6/5)^1.79*E3363</f>
        <v>80.67371001761181</v>
      </c>
      <c r="D3363" s="80">
        <v>76.68</v>
      </c>
      <c r="E3363" s="80">
        <v>58.21</v>
      </c>
      <c r="F3363" s="82">
        <f>-((D3363-C3363)/D3363)</f>
        <v>0.05208281191460359</v>
      </c>
      <c r="G3363" s="81">
        <f>C3363-D3363</f>
        <v>3.9937100176118037</v>
      </c>
      <c r="H3363" s="80">
        <v>540</v>
      </c>
      <c r="I3363" s="80" t="s">
        <v>390</v>
      </c>
    </row>
    <row r="3364" spans="2:9" ht="12.75">
      <c r="B3364" s="79" t="s">
        <v>316</v>
      </c>
      <c r="C3364" s="81">
        <f>(6/5)^1.79*E3364</f>
        <v>66.56516564414869</v>
      </c>
      <c r="D3364" s="80">
        <v>65.5</v>
      </c>
      <c r="E3364" s="80">
        <v>48.03</v>
      </c>
      <c r="F3364" s="82">
        <f>-((D3364-C3364)/D3364)</f>
        <v>0.016262070903033467</v>
      </c>
      <c r="G3364" s="81">
        <f>C3364-D3364</f>
        <v>1.065165644148692</v>
      </c>
      <c r="H3364" s="80">
        <v>540</v>
      </c>
      <c r="I3364" s="80" t="s">
        <v>390</v>
      </c>
    </row>
    <row r="3365" spans="2:9" ht="12.75">
      <c r="B3365" s="79" t="s">
        <v>312</v>
      </c>
      <c r="C3365" s="81">
        <f>(6/5)^1.79*E3365</f>
        <v>58.55461687414704</v>
      </c>
      <c r="D3365" s="80">
        <v>54.99</v>
      </c>
      <c r="E3365" s="80">
        <v>42.25</v>
      </c>
      <c r="F3365" s="82">
        <f>-((D3365-C3365)/D3365)</f>
        <v>0.0648230018939268</v>
      </c>
      <c r="G3365" s="81">
        <f>C3365-D3365</f>
        <v>3.5646168741470348</v>
      </c>
      <c r="H3365" s="80">
        <v>540</v>
      </c>
      <c r="I3365" s="80" t="s">
        <v>390</v>
      </c>
    </row>
    <row r="3366" spans="2:9" ht="12.75">
      <c r="B3366" s="79" t="s">
        <v>300</v>
      </c>
      <c r="C3366" s="81">
        <f>(6/5)^1.79*E3366</f>
        <v>51.306317554578065</v>
      </c>
      <c r="D3366" s="80">
        <v>51.37</v>
      </c>
      <c r="E3366" s="80">
        <v>37.02</v>
      </c>
      <c r="F3366" s="82">
        <f>-((D3366-C3366)/D3366)</f>
        <v>-0.0012396816317292632</v>
      </c>
      <c r="G3366" s="81">
        <f>C3366-D3366</f>
        <v>-0.06368244542193224</v>
      </c>
      <c r="H3366" s="80">
        <v>540</v>
      </c>
      <c r="I3366" s="80" t="s">
        <v>390</v>
      </c>
    </row>
    <row r="3367" spans="2:9" ht="12.75">
      <c r="B3367" s="79" t="s">
        <v>299</v>
      </c>
      <c r="C3367" s="81">
        <f>(6/5)^1.79*E3367</f>
        <v>36.421664649765304</v>
      </c>
      <c r="D3367" s="80">
        <v>36.47</v>
      </c>
      <c r="E3367" s="80">
        <v>26.28</v>
      </c>
      <c r="F3367" s="82">
        <f>-((D3367-C3367)/D3367)</f>
        <v>-0.0013253454958786503</v>
      </c>
      <c r="G3367" s="81">
        <f>C3367-D3367</f>
        <v>-0.048335350234694374</v>
      </c>
      <c r="H3367" s="80">
        <v>540</v>
      </c>
      <c r="I3367" s="80" t="s">
        <v>390</v>
      </c>
    </row>
    <row r="3368" spans="2:9" ht="12.75">
      <c r="B3368" s="79" t="s">
        <v>283</v>
      </c>
      <c r="C3368" s="81">
        <f>(6/5)^1.79*E3368</f>
        <v>64.76348512494415</v>
      </c>
      <c r="D3368" s="80">
        <v>65.84</v>
      </c>
      <c r="E3368" s="80">
        <v>46.73</v>
      </c>
      <c r="F3368" s="82">
        <f>-((D3368-C3368)/D3368)</f>
        <v>-0.016350468940702453</v>
      </c>
      <c r="G3368" s="81">
        <f>C3368-D3368</f>
        <v>-1.0765148750558495</v>
      </c>
      <c r="H3368" s="80">
        <v>540</v>
      </c>
      <c r="I3368" s="80" t="s">
        <v>390</v>
      </c>
    </row>
    <row r="3369" spans="2:9" ht="12.75">
      <c r="B3369" s="79" t="s">
        <v>288</v>
      </c>
      <c r="C3369" s="81">
        <f>(6/5)^1.79*E3369</f>
        <v>48.894837475027394</v>
      </c>
      <c r="D3369" s="80">
        <v>50.17</v>
      </c>
      <c r="E3369" s="80">
        <v>35.28</v>
      </c>
      <c r="F3369" s="82">
        <f>-((D3369-C3369)/D3369)</f>
        <v>-0.02541683326634657</v>
      </c>
      <c r="G3369" s="81">
        <f>C3369-D3369</f>
        <v>-1.2751625249726075</v>
      </c>
      <c r="H3369" s="80">
        <v>540</v>
      </c>
      <c r="I3369" s="80" t="s">
        <v>390</v>
      </c>
    </row>
    <row r="3370" spans="2:9" ht="12.75">
      <c r="B3370" s="79" t="s">
        <v>284</v>
      </c>
      <c r="C3370" s="81">
        <f>(6/5)^1.79*E3370</f>
        <v>62.67076390648352</v>
      </c>
      <c r="D3370" s="80">
        <v>63.86</v>
      </c>
      <c r="E3370" s="80">
        <v>45.22</v>
      </c>
      <c r="F3370" s="82">
        <f>-((D3370-C3370)/D3370)</f>
        <v>-0.018622550791050383</v>
      </c>
      <c r="G3370" s="81">
        <f>C3370-D3370</f>
        <v>-1.1892360935164774</v>
      </c>
      <c r="H3370" s="80">
        <v>540</v>
      </c>
      <c r="I3370" s="80" t="s">
        <v>390</v>
      </c>
    </row>
    <row r="3371" spans="2:9" ht="12.75">
      <c r="B3371" s="79" t="s">
        <v>285</v>
      </c>
      <c r="C3371" s="81">
        <f>(6/5)^1.79*E3371</f>
        <v>71.63758925975527</v>
      </c>
      <c r="D3371" s="80">
        <v>71.02</v>
      </c>
      <c r="E3371" s="80">
        <v>51.69</v>
      </c>
      <c r="F3371" s="82">
        <f>-((D3371-C3371)/D3371)</f>
        <v>0.008695990703397317</v>
      </c>
      <c r="G3371" s="81">
        <f>C3371-D3371</f>
        <v>0.6175892597552775</v>
      </c>
      <c r="H3371" s="80">
        <v>540</v>
      </c>
      <c r="I3371" s="80" t="s">
        <v>390</v>
      </c>
    </row>
    <row r="3372" spans="2:9" ht="12.75">
      <c r="B3372" s="79" t="s">
        <v>286</v>
      </c>
      <c r="C3372" s="81">
        <f>(6/5)^1.79*E3372</f>
        <v>51.80524446758855</v>
      </c>
      <c r="D3372" s="80">
        <v>54.02</v>
      </c>
      <c r="E3372" s="80">
        <v>37.38</v>
      </c>
      <c r="F3372" s="82">
        <f>-((D3372-C3372)/D3372)</f>
        <v>-0.04099880659776845</v>
      </c>
      <c r="G3372" s="81">
        <f>C3372-D3372</f>
        <v>-2.214755532411452</v>
      </c>
      <c r="H3372" s="80">
        <v>540</v>
      </c>
      <c r="I3372" s="80" t="s">
        <v>390</v>
      </c>
    </row>
    <row r="3373" spans="2:9" ht="12.75">
      <c r="B3373" s="79" t="s">
        <v>289</v>
      </c>
      <c r="C3373" s="81">
        <f>(6/5)^1.79*E3373</f>
        <v>49.24131449795134</v>
      </c>
      <c r="D3373" s="80">
        <v>50.57</v>
      </c>
      <c r="E3373" s="80">
        <v>35.53</v>
      </c>
      <c r="F3373" s="82">
        <f>-((D3373-C3373)/D3373)</f>
        <v>-0.026274184339502807</v>
      </c>
      <c r="G3373" s="81">
        <f>C3373-D3373</f>
        <v>-1.328685502048657</v>
      </c>
      <c r="H3373" s="80">
        <v>540</v>
      </c>
      <c r="I3373" s="80" t="s">
        <v>390</v>
      </c>
    </row>
    <row r="3374" spans="2:9" ht="12.75">
      <c r="B3374" s="79" t="s">
        <v>308</v>
      </c>
      <c r="C3374" s="81">
        <f>(6/5)^1.79*E3374</f>
        <v>57.75079018096348</v>
      </c>
      <c r="D3374" s="80">
        <v>56.61</v>
      </c>
      <c r="E3374" s="80">
        <v>41.67</v>
      </c>
      <c r="F3374" s="82">
        <f>-((D3374-C3374)/D3374)</f>
        <v>0.0201517431719392</v>
      </c>
      <c r="G3374" s="81">
        <f>C3374-D3374</f>
        <v>1.140790180963478</v>
      </c>
      <c r="H3374" s="80">
        <v>540</v>
      </c>
      <c r="I3374" s="80" t="s">
        <v>390</v>
      </c>
    </row>
    <row r="3375" spans="2:9" ht="12.75">
      <c r="B3375" s="79" t="s">
        <v>287</v>
      </c>
      <c r="C3375" s="81">
        <f>(6/5)^1.79*E3375</f>
        <v>53.09413899286563</v>
      </c>
      <c r="D3375" s="80">
        <v>53.83</v>
      </c>
      <c r="E3375" s="80">
        <v>38.31</v>
      </c>
      <c r="F3375" s="82">
        <f>-((D3375-C3375)/D3375)</f>
        <v>-0.013670091159843353</v>
      </c>
      <c r="G3375" s="81">
        <f>C3375-D3375</f>
        <v>-0.7358610071343676</v>
      </c>
      <c r="H3375" s="80">
        <v>540</v>
      </c>
      <c r="I3375" s="80" t="s">
        <v>390</v>
      </c>
    </row>
    <row r="3376" spans="2:9" ht="12.75">
      <c r="B3376" s="79" t="s">
        <v>242</v>
      </c>
      <c r="C3376" s="81">
        <f>(6/5)^1.79*E3376</f>
        <v>44.08573639684301</v>
      </c>
      <c r="D3376" s="80">
        <v>43.46</v>
      </c>
      <c r="E3376" s="80">
        <v>31.81</v>
      </c>
      <c r="F3376" s="82">
        <f>-((D3376-C3376)/D3376)</f>
        <v>0.014397984280787157</v>
      </c>
      <c r="G3376" s="81">
        <f>C3376-D3376</f>
        <v>0.6257363968430099</v>
      </c>
      <c r="H3376" s="80">
        <v>540</v>
      </c>
      <c r="I3376" s="80" t="s">
        <v>390</v>
      </c>
    </row>
    <row r="3377" spans="2:9" ht="12.75">
      <c r="B3377" s="79" t="s">
        <v>243</v>
      </c>
      <c r="C3377" s="81">
        <f>(6/5)^1.79*E3377</f>
        <v>42.325633120389355</v>
      </c>
      <c r="D3377" s="80">
        <v>43.34</v>
      </c>
      <c r="E3377" s="80">
        <v>30.54</v>
      </c>
      <c r="F3377" s="82">
        <f>-((D3377-C3377)/D3377)</f>
        <v>-0.023404865703983573</v>
      </c>
      <c r="G3377" s="81">
        <f>C3377-D3377</f>
        <v>-1.0143668796106482</v>
      </c>
      <c r="H3377" s="80">
        <v>540</v>
      </c>
      <c r="I3377" s="80" t="s">
        <v>390</v>
      </c>
    </row>
    <row r="3378" spans="2:9" ht="12.75">
      <c r="B3378" s="79"/>
      <c r="C3378" s="81"/>
      <c r="D3378" s="80"/>
      <c r="E3378" s="80" t="s">
        <v>14</v>
      </c>
      <c r="F3378" s="82">
        <f>AVERAGE(F3363:F3377)</f>
        <v>0.0006073849960588023</v>
      </c>
      <c r="G3378" s="81">
        <f>AVERAGE(G3363:G3377)</f>
        <v>0.137400544204174</v>
      </c>
      <c r="H3378" s="80"/>
      <c r="I3378" s="80"/>
    </row>
    <row r="3379" spans="2:8" ht="12.75">
      <c r="B3379" s="79"/>
      <c r="C3379" s="81"/>
      <c r="D3379" s="80"/>
      <c r="E3379" s="80"/>
      <c r="F3379" s="82"/>
      <c r="G3379" s="81"/>
      <c r="H3379" s="80"/>
    </row>
    <row r="3380" spans="1:9" ht="12.75">
      <c r="A3380" s="83" t="s">
        <v>0</v>
      </c>
      <c r="B3380" s="83" t="s">
        <v>1</v>
      </c>
      <c r="C3380" s="84" t="s">
        <v>247</v>
      </c>
      <c r="D3380" s="84" t="s">
        <v>194</v>
      </c>
      <c r="E3380" s="84" t="s">
        <v>218</v>
      </c>
      <c r="F3380" s="84" t="s">
        <v>5</v>
      </c>
      <c r="G3380" s="84" t="s">
        <v>6</v>
      </c>
      <c r="H3380" s="84" t="s">
        <v>7</v>
      </c>
      <c r="I3380" s="84" t="s">
        <v>8</v>
      </c>
    </row>
    <row r="3381" spans="1:9" ht="12.75">
      <c r="A3381" s="83" t="s">
        <v>389</v>
      </c>
      <c r="B3381" s="83" t="s">
        <v>334</v>
      </c>
      <c r="C3381" s="85">
        <f>(6/5)^2*E3381</f>
        <v>83.8224</v>
      </c>
      <c r="D3381" s="84">
        <v>76.68</v>
      </c>
      <c r="E3381" s="84">
        <v>58.21</v>
      </c>
      <c r="F3381" s="86">
        <f>-((D3381-C3381)/D3381)</f>
        <v>0.0931455399061032</v>
      </c>
      <c r="G3381" s="85">
        <f>C3381-D3381</f>
        <v>7.142399999999995</v>
      </c>
      <c r="H3381" s="84">
        <v>540</v>
      </c>
      <c r="I3381" s="84" t="s">
        <v>390</v>
      </c>
    </row>
    <row r="3382" spans="1:9" ht="12.75">
      <c r="A3382" s="5"/>
      <c r="B3382" s="83" t="s">
        <v>316</v>
      </c>
      <c r="C3382" s="85">
        <f>(6/5)^2*E3382</f>
        <v>69.1632</v>
      </c>
      <c r="D3382" s="84">
        <v>65.5</v>
      </c>
      <c r="E3382" s="84">
        <v>48.03</v>
      </c>
      <c r="F3382" s="86">
        <f>-((D3382-C3382)/D3382)</f>
        <v>0.05592671755725196</v>
      </c>
      <c r="G3382" s="85">
        <f>C3382-D3382</f>
        <v>3.6632000000000033</v>
      </c>
      <c r="H3382" s="84">
        <v>540</v>
      </c>
      <c r="I3382" s="84" t="s">
        <v>390</v>
      </c>
    </row>
    <row r="3383" spans="1:9" ht="12.75">
      <c r="A3383" s="5"/>
      <c r="B3383" s="83" t="s">
        <v>312</v>
      </c>
      <c r="C3383" s="85">
        <f>(6/5)^2*E3383</f>
        <v>60.839999999999996</v>
      </c>
      <c r="D3383" s="84">
        <v>54.99</v>
      </c>
      <c r="E3383" s="84">
        <v>42.25</v>
      </c>
      <c r="F3383" s="86">
        <f>-((D3383-C3383)/D3383)</f>
        <v>0.10638297872340415</v>
      </c>
      <c r="G3383" s="85">
        <f>C3383-D3383</f>
        <v>5.849999999999994</v>
      </c>
      <c r="H3383" s="84">
        <v>540</v>
      </c>
      <c r="I3383" s="84" t="s">
        <v>390</v>
      </c>
    </row>
    <row r="3384" spans="1:9" ht="12.75">
      <c r="A3384" s="5"/>
      <c r="B3384" s="83" t="s">
        <v>300</v>
      </c>
      <c r="C3384" s="85">
        <f>(6/5)^2*E3384</f>
        <v>53.308800000000005</v>
      </c>
      <c r="D3384" s="84">
        <v>51.37</v>
      </c>
      <c r="E3384" s="84">
        <v>37.02</v>
      </c>
      <c r="F3384" s="86">
        <f>-((D3384-C3384)/D3384)</f>
        <v>0.037741872688339645</v>
      </c>
      <c r="G3384" s="85">
        <f>C3384-D3384</f>
        <v>1.9388000000000076</v>
      </c>
      <c r="H3384" s="84">
        <v>540</v>
      </c>
      <c r="I3384" s="84" t="s">
        <v>390</v>
      </c>
    </row>
    <row r="3385" spans="1:9" ht="12.75">
      <c r="A3385" s="5"/>
      <c r="B3385" s="83" t="s">
        <v>299</v>
      </c>
      <c r="C3385" s="85">
        <f>(6/5)^2*E3385</f>
        <v>37.8432</v>
      </c>
      <c r="D3385" s="84">
        <v>36.47</v>
      </c>
      <c r="E3385" s="84">
        <v>26.28</v>
      </c>
      <c r="F3385" s="86">
        <f>-((D3385-C3385)/D3385)</f>
        <v>0.03765286536879639</v>
      </c>
      <c r="G3385" s="85">
        <f>C3385-D3385</f>
        <v>1.3732000000000042</v>
      </c>
      <c r="H3385" s="84">
        <v>540</v>
      </c>
      <c r="I3385" s="84" t="s">
        <v>390</v>
      </c>
    </row>
    <row r="3386" spans="1:9" ht="12.75">
      <c r="A3386" s="5"/>
      <c r="B3386" s="83" t="s">
        <v>283</v>
      </c>
      <c r="C3386" s="85">
        <f>(6/5)^2*E3386</f>
        <v>67.29119999999999</v>
      </c>
      <c r="D3386" s="84">
        <v>65.84</v>
      </c>
      <c r="E3386" s="84">
        <v>46.73</v>
      </c>
      <c r="F3386" s="86">
        <f>-((D3386-C3386)/D3386)</f>
        <v>0.022041312272174752</v>
      </c>
      <c r="G3386" s="85">
        <f>C3386-D3386</f>
        <v>1.4511999999999858</v>
      </c>
      <c r="H3386" s="84">
        <v>540</v>
      </c>
      <c r="I3386" s="84" t="s">
        <v>390</v>
      </c>
    </row>
    <row r="3387" spans="1:9" ht="12.75">
      <c r="A3387" s="5"/>
      <c r="B3387" s="83" t="s">
        <v>288</v>
      </c>
      <c r="C3387" s="85">
        <f>(6/5)^2*E3387</f>
        <v>50.8032</v>
      </c>
      <c r="D3387" s="84">
        <v>50.17</v>
      </c>
      <c r="E3387" s="84">
        <v>35.28</v>
      </c>
      <c r="F3387" s="86">
        <f>-((D3387-C3387)/D3387)</f>
        <v>0.012621088299780647</v>
      </c>
      <c r="G3387" s="85">
        <f>C3387-D3387</f>
        <v>0.6331999999999951</v>
      </c>
      <c r="H3387" s="84">
        <v>540</v>
      </c>
      <c r="I3387" s="84" t="s">
        <v>390</v>
      </c>
    </row>
    <row r="3388" spans="1:9" ht="12.75">
      <c r="A3388" s="5"/>
      <c r="B3388" s="83" t="s">
        <v>284</v>
      </c>
      <c r="C3388" s="85">
        <f>(6/5)^2*E3388</f>
        <v>65.1168</v>
      </c>
      <c r="D3388" s="84">
        <v>63.86</v>
      </c>
      <c r="E3388" s="84">
        <v>45.22</v>
      </c>
      <c r="F3388" s="86">
        <f>-((D3388-C3388)/D3388)</f>
        <v>0.01968055120576258</v>
      </c>
      <c r="G3388" s="85">
        <f>C3388-D3388</f>
        <v>1.2567999999999984</v>
      </c>
      <c r="H3388" s="84">
        <v>540</v>
      </c>
      <c r="I3388" s="84" t="s">
        <v>390</v>
      </c>
    </row>
    <row r="3389" spans="1:9" ht="12.75">
      <c r="A3389" s="5"/>
      <c r="B3389" s="83" t="s">
        <v>285</v>
      </c>
      <c r="C3389" s="85">
        <f>(6/5)^2*E3389</f>
        <v>74.4336</v>
      </c>
      <c r="D3389" s="84">
        <v>71.02</v>
      </c>
      <c r="E3389" s="84">
        <v>51.69</v>
      </c>
      <c r="F3389" s="86">
        <f>-((D3389-C3389)/D3389)</f>
        <v>0.04806533370881445</v>
      </c>
      <c r="G3389" s="85">
        <f>C3389-D3389</f>
        <v>3.4136000000000024</v>
      </c>
      <c r="H3389" s="84">
        <v>540</v>
      </c>
      <c r="I3389" s="84" t="s">
        <v>390</v>
      </c>
    </row>
    <row r="3390" spans="1:9" ht="12.75">
      <c r="A3390" s="5"/>
      <c r="B3390" s="83" t="s">
        <v>286</v>
      </c>
      <c r="C3390" s="85">
        <f>(6/5)^2*E3390</f>
        <v>53.827200000000005</v>
      </c>
      <c r="D3390" s="84">
        <v>54.02</v>
      </c>
      <c r="E3390" s="84">
        <v>37.38</v>
      </c>
      <c r="F3390" s="86">
        <f>-((D3390-C3390)/D3390)</f>
        <v>-0.003569048500555318</v>
      </c>
      <c r="G3390" s="85">
        <f>C3390-D3390</f>
        <v>-0.1927999999999983</v>
      </c>
      <c r="H3390" s="84">
        <v>540</v>
      </c>
      <c r="I3390" s="84" t="s">
        <v>390</v>
      </c>
    </row>
    <row r="3391" spans="1:9" ht="12.75">
      <c r="A3391" s="5"/>
      <c r="B3391" s="83" t="s">
        <v>289</v>
      </c>
      <c r="C3391" s="85">
        <f>(6/5)^2*E3391</f>
        <v>51.163199999999996</v>
      </c>
      <c r="D3391" s="84">
        <v>50.57</v>
      </c>
      <c r="E3391" s="84">
        <v>35.53</v>
      </c>
      <c r="F3391" s="86">
        <f>-((D3391-C3391)/D3391)</f>
        <v>0.011730274866521574</v>
      </c>
      <c r="G3391" s="85">
        <f>C3391-D3391</f>
        <v>0.593199999999996</v>
      </c>
      <c r="H3391" s="84">
        <v>540</v>
      </c>
      <c r="I3391" s="84" t="s">
        <v>390</v>
      </c>
    </row>
    <row r="3392" spans="1:9" ht="12.75">
      <c r="A3392" s="5"/>
      <c r="B3392" s="83" t="s">
        <v>308</v>
      </c>
      <c r="C3392" s="85">
        <f>(6/5)^2*E3392</f>
        <v>60.0048</v>
      </c>
      <c r="D3392" s="84">
        <v>56.61</v>
      </c>
      <c r="E3392" s="84">
        <v>41.67</v>
      </c>
      <c r="F3392" s="86">
        <f>-((D3392-C3392)/D3392)</f>
        <v>0.05996820349761533</v>
      </c>
      <c r="G3392" s="85">
        <f>C3392-D3392</f>
        <v>3.3948000000000036</v>
      </c>
      <c r="H3392" s="84">
        <v>540</v>
      </c>
      <c r="I3392" s="84" t="s">
        <v>390</v>
      </c>
    </row>
    <row r="3393" spans="1:9" ht="12.75">
      <c r="A3393" s="5"/>
      <c r="B3393" s="83" t="s">
        <v>287</v>
      </c>
      <c r="C3393" s="85">
        <f>(6/5)^2*E3393</f>
        <v>55.1664</v>
      </c>
      <c r="D3393" s="84">
        <v>53.83</v>
      </c>
      <c r="E3393" s="84">
        <v>38.31</v>
      </c>
      <c r="F3393" s="86">
        <f>-((D3393-C3393)/D3393)</f>
        <v>0.02482630503436754</v>
      </c>
      <c r="G3393" s="85">
        <f>C3393-D3393</f>
        <v>1.3364000000000047</v>
      </c>
      <c r="H3393" s="84">
        <v>540</v>
      </c>
      <c r="I3393" s="84" t="s">
        <v>390</v>
      </c>
    </row>
    <row r="3394" spans="1:9" ht="12.75">
      <c r="A3394" s="5"/>
      <c r="B3394" s="83" t="s">
        <v>242</v>
      </c>
      <c r="C3394" s="85">
        <f>(6/5)^2*E3394</f>
        <v>45.8064</v>
      </c>
      <c r="D3394" s="84">
        <v>43.46</v>
      </c>
      <c r="E3394" s="84">
        <v>31.81</v>
      </c>
      <c r="F3394" s="86">
        <f>-((D3394-C3394)/D3394)</f>
        <v>0.05398987574781398</v>
      </c>
      <c r="G3394" s="85">
        <f>C3394-D3394</f>
        <v>2.3463999999999956</v>
      </c>
      <c r="H3394" s="84">
        <v>540</v>
      </c>
      <c r="I3394" s="84" t="s">
        <v>390</v>
      </c>
    </row>
    <row r="3395" spans="1:9" ht="12.75">
      <c r="A3395" s="5"/>
      <c r="B3395" s="83" t="s">
        <v>243</v>
      </c>
      <c r="C3395" s="85">
        <f>(6/5)^2*E3395</f>
        <v>43.977599999999995</v>
      </c>
      <c r="D3395" s="84">
        <v>43.34</v>
      </c>
      <c r="E3395" s="84">
        <v>30.54</v>
      </c>
      <c r="F3395" s="86">
        <f>-((D3395-C3395)/D3395)</f>
        <v>0.014711582833410057</v>
      </c>
      <c r="G3395" s="85">
        <f>C3395-D3395</f>
        <v>0.637599999999992</v>
      </c>
      <c r="H3395" s="84">
        <v>540</v>
      </c>
      <c r="I3395" s="84" t="s">
        <v>390</v>
      </c>
    </row>
    <row r="3396" spans="1:9" ht="12.75">
      <c r="A3396" s="5"/>
      <c r="B3396" s="83"/>
      <c r="C3396" s="85"/>
      <c r="D3396" s="84"/>
      <c r="E3396" s="84" t="s">
        <v>14</v>
      </c>
      <c r="F3396" s="86">
        <f>AVERAGE(F3381:F3395)</f>
        <v>0.039661030213973394</v>
      </c>
      <c r="G3396" s="85">
        <f>AVERAGE(G3381:G3395)</f>
        <v>2.322533333333332</v>
      </c>
      <c r="H3396" s="84"/>
      <c r="I3396" s="84"/>
    </row>
    <row r="3398" spans="1:9" ht="12.75">
      <c r="A3398" s="90" t="s">
        <v>0</v>
      </c>
      <c r="B3398" s="90" t="s">
        <v>1</v>
      </c>
      <c r="C3398" s="91" t="s">
        <v>391</v>
      </c>
      <c r="D3398" s="91" t="s">
        <v>206</v>
      </c>
      <c r="E3398" s="91" t="s">
        <v>194</v>
      </c>
      <c r="F3398" s="91" t="s">
        <v>5</v>
      </c>
      <c r="G3398" s="91" t="s">
        <v>6</v>
      </c>
      <c r="H3398" s="91" t="s">
        <v>7</v>
      </c>
      <c r="I3398" s="91" t="s">
        <v>8</v>
      </c>
    </row>
    <row r="3399" spans="1:9" ht="12.75">
      <c r="A3399" s="90" t="s">
        <v>389</v>
      </c>
      <c r="B3399" s="90" t="s">
        <v>299</v>
      </c>
      <c r="C3399" s="92">
        <f>(8/6)^1.78*E3399</f>
        <v>60.85926659978673</v>
      </c>
      <c r="D3399" s="91">
        <v>57.71</v>
      </c>
      <c r="E3399" s="91">
        <v>36.47</v>
      </c>
      <c r="F3399" s="93">
        <f>-((D3399-C3399)/D3399)</f>
        <v>0.05457055276012351</v>
      </c>
      <c r="G3399" s="92">
        <f>C3399-D3399</f>
        <v>3.1492665997867277</v>
      </c>
      <c r="H3399" s="91">
        <v>540</v>
      </c>
      <c r="I3399" s="91" t="s">
        <v>390</v>
      </c>
    </row>
    <row r="3400" spans="1:9" ht="12.75">
      <c r="A3400" s="94"/>
      <c r="B3400" s="90" t="s">
        <v>301</v>
      </c>
      <c r="C3400" s="92">
        <f>(8/6)^1.78*E3400</f>
        <v>60.07495469131676</v>
      </c>
      <c r="D3400" s="91">
        <v>56.77</v>
      </c>
      <c r="E3400" s="91">
        <v>36</v>
      </c>
      <c r="F3400" s="93">
        <f>-((D3400-C3400)/D3400)</f>
        <v>0.058216570218720426</v>
      </c>
      <c r="G3400" s="92">
        <f>C3400-D3400</f>
        <v>3.304954691316759</v>
      </c>
      <c r="H3400" s="91">
        <v>540</v>
      </c>
      <c r="I3400" s="91" t="s">
        <v>390</v>
      </c>
    </row>
    <row r="3401" spans="1:9" ht="12.75">
      <c r="A3401" s="94"/>
      <c r="B3401" s="90" t="s">
        <v>91</v>
      </c>
      <c r="C3401" s="92">
        <f>(8/6)^1.78*E3401</f>
        <v>53.917271835456795</v>
      </c>
      <c r="D3401" s="91">
        <v>50.84</v>
      </c>
      <c r="E3401" s="91">
        <v>32.31</v>
      </c>
      <c r="F3401" s="93">
        <f>-((D3401-C3401)/D3401)</f>
        <v>0.06052855695233657</v>
      </c>
      <c r="G3401" s="92">
        <f>C3401-D3401</f>
        <v>3.0772718354567914</v>
      </c>
      <c r="H3401" s="91">
        <v>540</v>
      </c>
      <c r="I3401" s="91" t="s">
        <v>390</v>
      </c>
    </row>
    <row r="3402" spans="1:9" ht="12.75">
      <c r="A3402" s="94"/>
      <c r="B3402" s="90" t="s">
        <v>148</v>
      </c>
      <c r="C3402" s="92">
        <f>(8/6)^1.78*E3402</f>
        <v>57.989018764534926</v>
      </c>
      <c r="D3402" s="91">
        <v>64.38</v>
      </c>
      <c r="E3402" s="91">
        <v>34.75</v>
      </c>
      <c r="F3402" s="93">
        <f>-((D3402-C3402)/D3402)</f>
        <v>-0.09926966814950404</v>
      </c>
      <c r="G3402" s="92">
        <f>C3402-D3402</f>
        <v>-6.39098123546507</v>
      </c>
      <c r="H3402" s="91">
        <v>540</v>
      </c>
      <c r="I3402" s="91" t="s">
        <v>390</v>
      </c>
    </row>
    <row r="3403" spans="1:9" ht="12.75">
      <c r="A3403" s="94"/>
      <c r="B3403" s="90" t="s">
        <v>243</v>
      </c>
      <c r="C3403" s="92">
        <f>(8/6)^1.78*E3403</f>
        <v>72.32357045337969</v>
      </c>
      <c r="D3403" s="91">
        <v>71.61</v>
      </c>
      <c r="E3403" s="91">
        <v>43.34</v>
      </c>
      <c r="F3403" s="93">
        <f>-((D3403-C3403)/D3403)</f>
        <v>0.009964676070097588</v>
      </c>
      <c r="G3403" s="92">
        <f>C3403-D3403</f>
        <v>0.7135704533796883</v>
      </c>
      <c r="H3403" s="91">
        <v>540</v>
      </c>
      <c r="I3403" s="91" t="s">
        <v>390</v>
      </c>
    </row>
    <row r="3404" spans="1:9" ht="12.75">
      <c r="A3404" s="94"/>
      <c r="B3404" s="90" t="s">
        <v>244</v>
      </c>
      <c r="C3404" s="92">
        <f>(8/6)^1.78*E3404</f>
        <v>62.91182755174006</v>
      </c>
      <c r="D3404" s="91">
        <v>64.32</v>
      </c>
      <c r="E3404" s="91">
        <v>37.7</v>
      </c>
      <c r="F3404" s="93">
        <f>-((D3404-C3404)/D3404)</f>
        <v>-0.0218932283622502</v>
      </c>
      <c r="G3404" s="92">
        <f>C3404-D3404</f>
        <v>-1.4081724482599327</v>
      </c>
      <c r="H3404" s="91">
        <v>540</v>
      </c>
      <c r="I3404" s="91" t="s">
        <v>390</v>
      </c>
    </row>
    <row r="3405" spans="1:9" ht="12.75">
      <c r="A3405" s="94"/>
      <c r="B3405" s="90" t="s">
        <v>122</v>
      </c>
      <c r="C3405" s="92">
        <f>(8/6)^1.78*E3405</f>
        <v>58.289393537991515</v>
      </c>
      <c r="D3405" s="91">
        <v>58.17</v>
      </c>
      <c r="E3405" s="91">
        <v>34.93</v>
      </c>
      <c r="F3405" s="93">
        <f>-((D3405-C3405)/D3405)</f>
        <v>0.0020524933469402303</v>
      </c>
      <c r="G3405" s="92">
        <f>C3405-D3405</f>
        <v>0.1193935379915132</v>
      </c>
      <c r="H3405" s="91">
        <v>540</v>
      </c>
      <c r="I3405" s="91" t="s">
        <v>390</v>
      </c>
    </row>
    <row r="3406" spans="1:9" ht="12.75">
      <c r="A3406" s="94"/>
      <c r="B3406" s="90" t="s">
        <v>97</v>
      </c>
      <c r="C3406" s="92">
        <f>(8/6)^1.78*E3406</f>
        <v>52.66571027938769</v>
      </c>
      <c r="D3406" s="91">
        <v>55.6</v>
      </c>
      <c r="E3406" s="91">
        <v>31.56</v>
      </c>
      <c r="F3406" s="93">
        <f>-((D3406-C3406)/D3406)</f>
        <v>-0.052774994975041595</v>
      </c>
      <c r="G3406" s="92">
        <f>C3406-D3406</f>
        <v>-2.9342897206123126</v>
      </c>
      <c r="H3406" s="91">
        <v>540</v>
      </c>
      <c r="I3406" s="91" t="s">
        <v>390</v>
      </c>
    </row>
    <row r="3407" spans="1:9" ht="12.75">
      <c r="A3407" s="94"/>
      <c r="C3407" s="92"/>
      <c r="D3407" s="91"/>
      <c r="E3407" s="91" t="s">
        <v>14</v>
      </c>
      <c r="F3407" s="93">
        <f>AVERAGE(F3399:F3406)</f>
        <v>0.0014243697326778108</v>
      </c>
      <c r="G3407" s="92">
        <f>AVERAGE(G3399:G3406)</f>
        <v>-0.04612328580072944</v>
      </c>
      <c r="H3407" s="91"/>
      <c r="I3407" s="91"/>
    </row>
    <row r="3408" ht="12.75">
      <c r="H3408" s="84"/>
    </row>
    <row r="3409" spans="1:9" ht="12.75">
      <c r="A3409" s="94" t="s">
        <v>0</v>
      </c>
      <c r="B3409" s="94" t="s">
        <v>1</v>
      </c>
      <c r="C3409" s="95" t="s">
        <v>349</v>
      </c>
      <c r="D3409" s="95" t="s">
        <v>206</v>
      </c>
      <c r="E3409" s="95" t="s">
        <v>194</v>
      </c>
      <c r="F3409" s="95" t="s">
        <v>5</v>
      </c>
      <c r="G3409" s="95" t="s">
        <v>6</v>
      </c>
      <c r="H3409" s="95" t="s">
        <v>7</v>
      </c>
      <c r="I3409" s="95" t="s">
        <v>8</v>
      </c>
    </row>
    <row r="3410" spans="1:9" ht="12.75">
      <c r="A3410" s="94" t="s">
        <v>389</v>
      </c>
      <c r="B3410" s="94" t="s">
        <v>299</v>
      </c>
      <c r="C3410" s="96">
        <f>(8/6)^2*E3410</f>
        <v>64.83555555555554</v>
      </c>
      <c r="D3410" s="95">
        <v>57.71</v>
      </c>
      <c r="E3410" s="95">
        <v>36.47</v>
      </c>
      <c r="F3410" s="97">
        <f>-((D3410-C3410)/D3410)</f>
        <v>0.1234717649550432</v>
      </c>
      <c r="G3410" s="96">
        <f>C3410-D3410</f>
        <v>7.125555555555543</v>
      </c>
      <c r="H3410" s="95">
        <v>540</v>
      </c>
      <c r="I3410" s="95" t="s">
        <v>390</v>
      </c>
    </row>
    <row r="3411" spans="1:9" ht="12.75">
      <c r="A3411" s="94"/>
      <c r="B3411" s="94" t="s">
        <v>301</v>
      </c>
      <c r="C3411" s="96">
        <f>(8/6)^2*E3411</f>
        <v>64</v>
      </c>
      <c r="D3411" s="95">
        <v>56.77</v>
      </c>
      <c r="E3411" s="95">
        <v>36</v>
      </c>
      <c r="F3411" s="97">
        <f>-((D3411-C3411)/D3411)</f>
        <v>0.12735599788620744</v>
      </c>
      <c r="G3411" s="96">
        <f>C3411-D3411</f>
        <v>7.229999999999997</v>
      </c>
      <c r="H3411" s="95">
        <v>540</v>
      </c>
      <c r="I3411" s="95" t="s">
        <v>390</v>
      </c>
    </row>
    <row r="3412" spans="1:9" ht="12.75">
      <c r="A3412" s="94"/>
      <c r="B3412" s="94" t="s">
        <v>91</v>
      </c>
      <c r="C3412" s="96">
        <f>(8/6)^2*E3412</f>
        <v>57.44</v>
      </c>
      <c r="D3412" s="95">
        <v>50.84</v>
      </c>
      <c r="E3412" s="95">
        <v>32.31</v>
      </c>
      <c r="F3412" s="97">
        <f>-((D3412-C3412)/D3412)</f>
        <v>0.12981904012588502</v>
      </c>
      <c r="G3412" s="96">
        <f>C3412-D3412</f>
        <v>6.599999999999994</v>
      </c>
      <c r="H3412" s="95">
        <v>540</v>
      </c>
      <c r="I3412" s="95" t="s">
        <v>390</v>
      </c>
    </row>
    <row r="3413" spans="1:9" ht="12.75">
      <c r="A3413" s="94"/>
      <c r="B3413" s="94" t="s">
        <v>148</v>
      </c>
      <c r="C3413" s="96">
        <f>(8/6)^2*E3413</f>
        <v>61.77777777777777</v>
      </c>
      <c r="D3413" s="95">
        <v>64.38</v>
      </c>
      <c r="E3413" s="95">
        <v>34.75</v>
      </c>
      <c r="F3413" s="97">
        <f>-((D3413-C3413)/D3413)</f>
        <v>-0.040419730074902516</v>
      </c>
      <c r="G3413" s="96">
        <f>C3413-D3413</f>
        <v>-2.602222222222224</v>
      </c>
      <c r="H3413" s="95">
        <v>540</v>
      </c>
      <c r="I3413" s="95" t="s">
        <v>390</v>
      </c>
    </row>
    <row r="3414" spans="1:9" ht="12.75">
      <c r="A3414" s="94"/>
      <c r="B3414" s="94" t="s">
        <v>243</v>
      </c>
      <c r="C3414" s="96">
        <f>(8/6)^2*E3414</f>
        <v>77.0488888888889</v>
      </c>
      <c r="D3414" s="95">
        <v>71.61</v>
      </c>
      <c r="E3414" s="95">
        <v>43.34</v>
      </c>
      <c r="F3414" s="97">
        <f>-((D3414-C3414)/D3414)</f>
        <v>0.07595152756443091</v>
      </c>
      <c r="G3414" s="96">
        <f>C3414-D3414</f>
        <v>5.438888888888897</v>
      </c>
      <c r="H3414" s="95">
        <v>540</v>
      </c>
      <c r="I3414" s="95" t="s">
        <v>390</v>
      </c>
    </row>
    <row r="3415" spans="1:9" ht="12.75">
      <c r="A3415" s="94"/>
      <c r="B3415" s="94" t="s">
        <v>244</v>
      </c>
      <c r="C3415" s="96">
        <f>(8/6)^2*E3415</f>
        <v>67.02222222222223</v>
      </c>
      <c r="D3415" s="95">
        <v>64.32</v>
      </c>
      <c r="E3415" s="95">
        <v>37.7</v>
      </c>
      <c r="F3415" s="97">
        <f>-((D3415-C3415)/D3415)</f>
        <v>0.04201216141514665</v>
      </c>
      <c r="G3415" s="96">
        <f>C3415-D3415</f>
        <v>2.7022222222222325</v>
      </c>
      <c r="H3415" s="95">
        <v>540</v>
      </c>
      <c r="I3415" s="95" t="s">
        <v>390</v>
      </c>
    </row>
    <row r="3416" spans="1:9" ht="12.75">
      <c r="A3416" s="94"/>
      <c r="B3416" s="94" t="s">
        <v>122</v>
      </c>
      <c r="C3416" s="96">
        <f>(8/6)^2*E3416</f>
        <v>62.09777777777777</v>
      </c>
      <c r="D3416" s="95">
        <v>58.17</v>
      </c>
      <c r="E3416" s="95">
        <v>34.93</v>
      </c>
      <c r="F3416" s="97">
        <f>-((D3416-C3416)/D3416)</f>
        <v>0.0675223960422515</v>
      </c>
      <c r="G3416" s="96">
        <f>C3416-D3416</f>
        <v>3.92777777777777</v>
      </c>
      <c r="H3416" s="95">
        <v>540</v>
      </c>
      <c r="I3416" s="95" t="s">
        <v>390</v>
      </c>
    </row>
    <row r="3417" spans="1:9" ht="12.75">
      <c r="A3417" s="94"/>
      <c r="B3417" s="94" t="s">
        <v>97</v>
      </c>
      <c r="C3417" s="96">
        <f>(8/6)^2*E3417</f>
        <v>56.10666666666666</v>
      </c>
      <c r="D3417" s="95">
        <v>55.6</v>
      </c>
      <c r="E3417" s="95">
        <v>31.56</v>
      </c>
      <c r="F3417" s="97">
        <f>-((D3417-C3417)/D3417)</f>
        <v>0.009112709832134183</v>
      </c>
      <c r="G3417" s="96">
        <f>C3417-D3417</f>
        <v>0.5066666666666606</v>
      </c>
      <c r="H3417" s="95">
        <v>540</v>
      </c>
      <c r="I3417" s="95" t="s">
        <v>390</v>
      </c>
    </row>
    <row r="3418" spans="1:9" ht="12.75">
      <c r="A3418" s="94"/>
      <c r="B3418" s="5"/>
      <c r="C3418" s="96"/>
      <c r="D3418" s="95"/>
      <c r="E3418" s="95" t="s">
        <v>14</v>
      </c>
      <c r="F3418" s="97">
        <f>AVERAGE(F3410:F3417)</f>
        <v>0.06685323346827454</v>
      </c>
      <c r="G3418" s="96">
        <f>AVERAGE(G3410:G3417)</f>
        <v>3.866111111111109</v>
      </c>
      <c r="H3418" s="95"/>
      <c r="I3418" s="95"/>
    </row>
    <row r="3420" spans="1:9" ht="12.75">
      <c r="A3420" s="79" t="s">
        <v>0</v>
      </c>
      <c r="B3420" s="79" t="s">
        <v>1</v>
      </c>
      <c r="C3420" s="80" t="s">
        <v>386</v>
      </c>
      <c r="D3420" s="80" t="s">
        <v>194</v>
      </c>
      <c r="E3420" s="80" t="s">
        <v>218</v>
      </c>
      <c r="F3420" s="80" t="s">
        <v>5</v>
      </c>
      <c r="G3420" s="80" t="s">
        <v>6</v>
      </c>
      <c r="H3420" s="80" t="s">
        <v>7</v>
      </c>
      <c r="I3420" s="80" t="s">
        <v>8</v>
      </c>
    </row>
    <row r="3421" spans="1:9" ht="12.75">
      <c r="A3421" s="79" t="s">
        <v>392</v>
      </c>
      <c r="B3421" s="79" t="s">
        <v>340</v>
      </c>
      <c r="C3421" s="81">
        <f>(6/5)^1.66*E3421</f>
        <v>63.111177612160915</v>
      </c>
      <c r="D3421" s="80">
        <v>60.94</v>
      </c>
      <c r="E3421" s="80">
        <v>46.63</v>
      </c>
      <c r="F3421" s="82">
        <f>-((D3421-C3421)/D3421)</f>
        <v>0.03562811966132126</v>
      </c>
      <c r="G3421" s="81">
        <f>C3421-D3421</f>
        <v>2.1711776121609176</v>
      </c>
      <c r="H3421" s="80">
        <v>450</v>
      </c>
      <c r="I3421" s="80" t="s">
        <v>393</v>
      </c>
    </row>
    <row r="3422" spans="2:9" ht="12.75">
      <c r="B3422" s="79" t="s">
        <v>341</v>
      </c>
      <c r="C3422" s="81">
        <f>(6/5)^1.66*E3422</f>
        <v>55.139381855445755</v>
      </c>
      <c r="D3422" s="80">
        <v>52.14</v>
      </c>
      <c r="E3422" s="80">
        <v>40.74</v>
      </c>
      <c r="F3422" s="82">
        <f>-((D3422-C3422)/D3422)</f>
        <v>0.05752554383286833</v>
      </c>
      <c r="G3422" s="81">
        <f>C3422-D3422</f>
        <v>2.9993818554457548</v>
      </c>
      <c r="H3422" s="80">
        <v>450</v>
      </c>
      <c r="I3422" s="80" t="s">
        <v>393</v>
      </c>
    </row>
    <row r="3423" spans="2:9" ht="12.75">
      <c r="B3423" s="79" t="s">
        <v>334</v>
      </c>
      <c r="C3423" s="81">
        <f>(6/5)^1.66*E3423</f>
        <v>52.82498953898006</v>
      </c>
      <c r="D3423" s="80">
        <v>51.24</v>
      </c>
      <c r="E3423" s="80">
        <v>39.03</v>
      </c>
      <c r="F3423" s="82">
        <f>-((D3423-C3423)/D3423)</f>
        <v>0.03093266079196059</v>
      </c>
      <c r="G3423" s="81">
        <f>C3423-D3423</f>
        <v>1.5849895389800608</v>
      </c>
      <c r="H3423" s="80">
        <v>450</v>
      </c>
      <c r="I3423" s="80" t="s">
        <v>393</v>
      </c>
    </row>
    <row r="3424" spans="2:9" ht="12.75">
      <c r="B3424" s="79" t="s">
        <v>316</v>
      </c>
      <c r="C3424" s="81">
        <f>(6/5)^1.66*E3424</f>
        <v>43.0260419534762</v>
      </c>
      <c r="D3424" s="80">
        <v>43.27</v>
      </c>
      <c r="E3424" s="80">
        <v>31.79</v>
      </c>
      <c r="F3424" s="82">
        <f>-((D3424-C3424)/D3424)</f>
        <v>-0.00563804128781606</v>
      </c>
      <c r="G3424" s="81">
        <f>C3424-D3424</f>
        <v>-0.24395804652380093</v>
      </c>
      <c r="H3424" s="80">
        <v>450</v>
      </c>
      <c r="I3424" s="80" t="s">
        <v>393</v>
      </c>
    </row>
    <row r="3425" spans="2:9" ht="12.75">
      <c r="B3425" s="79" t="s">
        <v>312</v>
      </c>
      <c r="C3425" s="81">
        <f>(6/5)^1.66*E3425</f>
        <v>36.6107088657292</v>
      </c>
      <c r="D3425" s="80">
        <v>36.99</v>
      </c>
      <c r="E3425" s="80">
        <v>27.05</v>
      </c>
      <c r="F3425" s="82">
        <f>-((D3425-C3425)/D3425)</f>
        <v>-0.010253883056793754</v>
      </c>
      <c r="G3425" s="81">
        <f>C3425-D3425</f>
        <v>-0.37929113427080097</v>
      </c>
      <c r="H3425" s="80">
        <v>450</v>
      </c>
      <c r="I3425" s="80" t="s">
        <v>393</v>
      </c>
    </row>
    <row r="3426" spans="2:9" ht="12.75">
      <c r="B3426" s="79" t="s">
        <v>346</v>
      </c>
      <c r="C3426" s="81">
        <f>(6/5)^1.66*E3426</f>
        <v>64.96539835693167</v>
      </c>
      <c r="D3426" s="80">
        <v>67.17</v>
      </c>
      <c r="E3426" s="80">
        <v>48</v>
      </c>
      <c r="F3426" s="82">
        <f>-((D3426-C3426)/D3426)</f>
        <v>-0.032821224401791416</v>
      </c>
      <c r="G3426" s="81">
        <f>C3426-D3426</f>
        <v>-2.2046016430683295</v>
      </c>
      <c r="H3426" s="80">
        <v>450</v>
      </c>
      <c r="I3426" s="80" t="s">
        <v>393</v>
      </c>
    </row>
    <row r="3427" spans="2:9" ht="12.75">
      <c r="B3427" s="79" t="s">
        <v>335</v>
      </c>
      <c r="C3427" s="81">
        <f>(6/5)^1.66*E3427</f>
        <v>59.9982522742246</v>
      </c>
      <c r="D3427" s="80">
        <v>62.19</v>
      </c>
      <c r="E3427" s="80">
        <v>44.33</v>
      </c>
      <c r="F3427" s="82">
        <f>-((D3427-C3427)/D3427)</f>
        <v>-0.03524276774039878</v>
      </c>
      <c r="G3427" s="81">
        <f>C3427-D3427</f>
        <v>-2.1917477257754</v>
      </c>
      <c r="H3427" s="80">
        <v>450</v>
      </c>
      <c r="I3427" s="80" t="s">
        <v>393</v>
      </c>
    </row>
    <row r="3428" spans="2:9" ht="12.75">
      <c r="B3428" s="79" t="s">
        <v>317</v>
      </c>
      <c r="C3428" s="81">
        <f>(6/5)^1.66*E3428</f>
        <v>42.10569881008634</v>
      </c>
      <c r="D3428" s="80">
        <v>42.63</v>
      </c>
      <c r="E3428" s="80">
        <v>31.11</v>
      </c>
      <c r="F3428" s="82">
        <f>-((D3428-C3428)/D3428)</f>
        <v>-0.01229887848730154</v>
      </c>
      <c r="G3428" s="81">
        <f>C3428-D3428</f>
        <v>-0.5243011899136647</v>
      </c>
      <c r="H3428" s="80">
        <v>450</v>
      </c>
      <c r="I3428" s="80" t="s">
        <v>393</v>
      </c>
    </row>
    <row r="3429" spans="2:9" ht="12.75">
      <c r="B3429" s="79" t="s">
        <v>318</v>
      </c>
      <c r="C3429" s="81">
        <f>(6/5)^1.66*E3429</f>
        <v>59.37566720663734</v>
      </c>
      <c r="D3429" s="80">
        <v>58.73</v>
      </c>
      <c r="E3429" s="80">
        <v>43.87</v>
      </c>
      <c r="F3429" s="82">
        <f>-((D3429-C3429)/D3429)</f>
        <v>0.010993822690913358</v>
      </c>
      <c r="G3429" s="81">
        <f>C3429-D3429</f>
        <v>0.6456672066373415</v>
      </c>
      <c r="H3429" s="80">
        <v>450</v>
      </c>
      <c r="I3429" s="80" t="s">
        <v>393</v>
      </c>
    </row>
    <row r="3430" spans="2:9" ht="12.75">
      <c r="B3430" s="79" t="s">
        <v>319</v>
      </c>
      <c r="C3430" s="81">
        <f>(6/5)^1.66*E3430</f>
        <v>39.64242745571934</v>
      </c>
      <c r="D3430" s="80">
        <v>41.23</v>
      </c>
      <c r="E3430" s="80">
        <v>29.29</v>
      </c>
      <c r="F3430" s="82">
        <f>-((D3430-C3430)/D3430)</f>
        <v>-0.03850527635897779</v>
      </c>
      <c r="G3430" s="81">
        <f>C3430-D3430</f>
        <v>-1.587572544280654</v>
      </c>
      <c r="H3430" s="80">
        <v>450</v>
      </c>
      <c r="I3430" s="80" t="s">
        <v>393</v>
      </c>
    </row>
    <row r="3431" spans="2:9" ht="12.75">
      <c r="B3431" s="79"/>
      <c r="C3431" s="81"/>
      <c r="D3431" s="80"/>
      <c r="E3431" s="80" t="s">
        <v>14</v>
      </c>
      <c r="F3431" s="82">
        <f>AVERAGE(F3421:F3430)</f>
        <v>3.200756439842023E-05</v>
      </c>
      <c r="G3431" s="81">
        <f>AVERAGE(G3421:G3430)</f>
        <v>0.026974392939142434</v>
      </c>
      <c r="H3431" s="80"/>
      <c r="I3431" s="80"/>
    </row>
    <row r="3432" spans="2:9" ht="12.75">
      <c r="B3432" s="79"/>
      <c r="C3432" s="81"/>
      <c r="D3432" s="80"/>
      <c r="E3432" s="80"/>
      <c r="F3432" s="82"/>
      <c r="G3432" s="81"/>
      <c r="H3432" s="80"/>
      <c r="I3432" s="80"/>
    </row>
    <row r="3433" spans="1:9" ht="12.75">
      <c r="A3433" s="83" t="s">
        <v>0</v>
      </c>
      <c r="B3433" s="83" t="s">
        <v>1</v>
      </c>
      <c r="C3433" s="84" t="s">
        <v>247</v>
      </c>
      <c r="D3433" s="84" t="s">
        <v>194</v>
      </c>
      <c r="E3433" s="84" t="s">
        <v>218</v>
      </c>
      <c r="F3433" s="84" t="s">
        <v>5</v>
      </c>
      <c r="G3433" s="84" t="s">
        <v>6</v>
      </c>
      <c r="H3433" s="84" t="s">
        <v>7</v>
      </c>
      <c r="I3433" s="84" t="s">
        <v>8</v>
      </c>
    </row>
    <row r="3434" spans="1:9" ht="12.75">
      <c r="A3434" s="83" t="s">
        <v>392</v>
      </c>
      <c r="B3434" s="83" t="s">
        <v>340</v>
      </c>
      <c r="C3434" s="85">
        <f>(6/5)^2*E3434</f>
        <v>67.1472</v>
      </c>
      <c r="D3434" s="84">
        <v>60.94</v>
      </c>
      <c r="E3434" s="84">
        <v>46.63</v>
      </c>
      <c r="F3434" s="86">
        <f>-((D3434-C3434)/D3434)</f>
        <v>0.10185756481785363</v>
      </c>
      <c r="G3434" s="85">
        <f>C3434-D3434</f>
        <v>6.2072</v>
      </c>
      <c r="H3434" s="84">
        <v>450</v>
      </c>
      <c r="I3434" s="84" t="s">
        <v>393</v>
      </c>
    </row>
    <row r="3435" spans="1:9" ht="12.75">
      <c r="A3435" s="5"/>
      <c r="B3435" s="83" t="s">
        <v>341</v>
      </c>
      <c r="C3435" s="85">
        <f>(6/5)^2*E3435</f>
        <v>58.6656</v>
      </c>
      <c r="D3435" s="84">
        <v>52.14</v>
      </c>
      <c r="E3435" s="84">
        <v>40.74</v>
      </c>
      <c r="F3435" s="86">
        <f>-((D3435-C3435)/D3435)</f>
        <v>0.12515535097813574</v>
      </c>
      <c r="G3435" s="85">
        <f>C3435-D3435</f>
        <v>6.525599999999997</v>
      </c>
      <c r="H3435" s="84">
        <v>450</v>
      </c>
      <c r="I3435" s="84" t="s">
        <v>393</v>
      </c>
    </row>
    <row r="3436" spans="1:9" ht="12.75">
      <c r="A3436" s="5"/>
      <c r="B3436" s="83" t="s">
        <v>334</v>
      </c>
      <c r="C3436" s="85">
        <f>(6/5)^2*E3436</f>
        <v>56.2032</v>
      </c>
      <c r="D3436" s="84">
        <v>51.24</v>
      </c>
      <c r="E3436" s="84">
        <v>39.03</v>
      </c>
      <c r="F3436" s="86">
        <f>-((D3436-C3436)/D3436)</f>
        <v>0.09686182669789228</v>
      </c>
      <c r="G3436" s="85">
        <f>C3436-D3436</f>
        <v>4.9632000000000005</v>
      </c>
      <c r="H3436" s="84">
        <v>450</v>
      </c>
      <c r="I3436" s="84" t="s">
        <v>393</v>
      </c>
    </row>
    <row r="3437" spans="1:9" ht="12.75">
      <c r="A3437" s="5"/>
      <c r="B3437" s="83" t="s">
        <v>316</v>
      </c>
      <c r="C3437" s="85">
        <f>(6/5)^2*E3437</f>
        <v>45.7776</v>
      </c>
      <c r="D3437" s="84">
        <v>43.27</v>
      </c>
      <c r="E3437" s="84">
        <v>31.79</v>
      </c>
      <c r="F3437" s="86">
        <f>-((D3437-C3437)/D3437)</f>
        <v>0.05795239195747623</v>
      </c>
      <c r="G3437" s="85">
        <f>C3437-D3437</f>
        <v>2.5075999999999965</v>
      </c>
      <c r="H3437" s="84">
        <v>450</v>
      </c>
      <c r="I3437" s="84" t="s">
        <v>393</v>
      </c>
    </row>
    <row r="3438" spans="1:9" ht="12.75">
      <c r="A3438" s="5"/>
      <c r="B3438" s="83" t="s">
        <v>312</v>
      </c>
      <c r="C3438" s="85">
        <f>(6/5)^2*E3438</f>
        <v>38.952</v>
      </c>
      <c r="D3438" s="84">
        <v>36.99</v>
      </c>
      <c r="E3438" s="84">
        <v>27.05</v>
      </c>
      <c r="F3438" s="86">
        <f>-((D3438-C3438)/D3438)</f>
        <v>0.05304136253041352</v>
      </c>
      <c r="G3438" s="85">
        <f>C3438-D3438</f>
        <v>1.9619999999999962</v>
      </c>
      <c r="H3438" s="84">
        <v>450</v>
      </c>
      <c r="I3438" s="84" t="s">
        <v>393</v>
      </c>
    </row>
    <row r="3439" spans="1:9" ht="12.75">
      <c r="A3439" s="5"/>
      <c r="B3439" s="83" t="s">
        <v>346</v>
      </c>
      <c r="C3439" s="85">
        <f>(6/5)^2*E3439</f>
        <v>69.12</v>
      </c>
      <c r="D3439" s="84">
        <v>67.17</v>
      </c>
      <c r="E3439" s="84">
        <v>48</v>
      </c>
      <c r="F3439" s="86">
        <f>-((D3439-C3439)/D3439)</f>
        <v>0.02903081732916485</v>
      </c>
      <c r="G3439" s="85">
        <f>C3439-D3439</f>
        <v>1.9500000000000028</v>
      </c>
      <c r="H3439" s="84">
        <v>450</v>
      </c>
      <c r="I3439" s="84" t="s">
        <v>393</v>
      </c>
    </row>
    <row r="3440" spans="1:9" ht="12.75">
      <c r="A3440" s="5"/>
      <c r="B3440" s="83" t="s">
        <v>335</v>
      </c>
      <c r="C3440" s="85">
        <f>(6/5)^2*E3440</f>
        <v>63.83519999999999</v>
      </c>
      <c r="D3440" s="84">
        <v>62.19</v>
      </c>
      <c r="E3440" s="84">
        <v>44.33</v>
      </c>
      <c r="F3440" s="86">
        <f>-((D3440-C3440)/D3440)</f>
        <v>0.026454413892908757</v>
      </c>
      <c r="G3440" s="85">
        <f>C3440-D3440</f>
        <v>1.6451999999999956</v>
      </c>
      <c r="H3440" s="84">
        <v>450</v>
      </c>
      <c r="I3440" s="84" t="s">
        <v>393</v>
      </c>
    </row>
    <row r="3441" spans="1:9" ht="12.75">
      <c r="A3441" s="5"/>
      <c r="B3441" s="83" t="s">
        <v>317</v>
      </c>
      <c r="C3441" s="85">
        <f>(6/5)^2*E3441</f>
        <v>44.7984</v>
      </c>
      <c r="D3441" s="84">
        <v>42.63</v>
      </c>
      <c r="E3441" s="84">
        <v>31.11</v>
      </c>
      <c r="F3441" s="86">
        <f>-((D3441-C3441)/D3441)</f>
        <v>0.05086558761435604</v>
      </c>
      <c r="G3441" s="85">
        <f>C3441-D3441</f>
        <v>2.1683999999999983</v>
      </c>
      <c r="H3441" s="84">
        <v>450</v>
      </c>
      <c r="I3441" s="84" t="s">
        <v>393</v>
      </c>
    </row>
    <row r="3442" spans="1:9" ht="12.75">
      <c r="A3442" s="5"/>
      <c r="B3442" s="83" t="s">
        <v>318</v>
      </c>
      <c r="C3442" s="85">
        <f>(6/5)^2*E3442</f>
        <v>63.172799999999995</v>
      </c>
      <c r="D3442" s="84">
        <v>58.73</v>
      </c>
      <c r="E3442" s="84">
        <v>43.87</v>
      </c>
      <c r="F3442" s="86">
        <f>-((D3442-C3442)/D3442)</f>
        <v>0.07564788012940574</v>
      </c>
      <c r="G3442" s="85">
        <f>C3442-D3442</f>
        <v>4.442799999999998</v>
      </c>
      <c r="H3442" s="84">
        <v>450</v>
      </c>
      <c r="I3442" s="84" t="s">
        <v>393</v>
      </c>
    </row>
    <row r="3443" spans="1:9" ht="12.75">
      <c r="A3443" s="5"/>
      <c r="B3443" s="83" t="s">
        <v>319</v>
      </c>
      <c r="C3443" s="85">
        <f>(6/5)^2*E3443</f>
        <v>42.1776</v>
      </c>
      <c r="D3443" s="84">
        <v>41.23</v>
      </c>
      <c r="E3443" s="84">
        <v>29.29</v>
      </c>
      <c r="F3443" s="86">
        <f>-((D3443-C3443)/D3443)</f>
        <v>0.0229832646131458</v>
      </c>
      <c r="G3443" s="85">
        <f>C3443-D3443</f>
        <v>0.9476000000000013</v>
      </c>
      <c r="H3443" s="84">
        <v>450</v>
      </c>
      <c r="I3443" s="84" t="s">
        <v>393</v>
      </c>
    </row>
    <row r="3444" spans="1:9" ht="12.75">
      <c r="A3444" s="5"/>
      <c r="B3444" s="83"/>
      <c r="C3444" s="85"/>
      <c r="D3444" s="84"/>
      <c r="E3444" s="84" t="s">
        <v>14</v>
      </c>
      <c r="F3444" s="86">
        <f>AVERAGE(F3434:F3443)</f>
        <v>0.06398504605607527</v>
      </c>
      <c r="G3444" s="85">
        <f>AVERAGE(G3434:G3443)</f>
        <v>3.3319599999999987</v>
      </c>
      <c r="H3444" s="84"/>
      <c r="I3444" s="84"/>
    </row>
    <row r="3446" spans="1:9" ht="12.75">
      <c r="A3446" s="90" t="s">
        <v>0</v>
      </c>
      <c r="B3446" s="90" t="s">
        <v>1</v>
      </c>
      <c r="C3446" s="91" t="s">
        <v>394</v>
      </c>
      <c r="D3446" s="91" t="s">
        <v>206</v>
      </c>
      <c r="E3446" s="91" t="s">
        <v>194</v>
      </c>
      <c r="F3446" s="91" t="s">
        <v>5</v>
      </c>
      <c r="G3446" s="91" t="s">
        <v>6</v>
      </c>
      <c r="H3446" s="91" t="s">
        <v>7</v>
      </c>
      <c r="I3446" s="91" t="s">
        <v>8</v>
      </c>
    </row>
    <row r="3447" spans="1:9" ht="12.75">
      <c r="A3447" s="90" t="s">
        <v>392</v>
      </c>
      <c r="B3447" s="90" t="s">
        <v>316</v>
      </c>
      <c r="C3447" s="92">
        <f>(8/6)^1.74*E3447</f>
        <v>71.3806168858195</v>
      </c>
      <c r="D3447" s="91">
        <v>67.29</v>
      </c>
      <c r="E3447" s="91">
        <v>43.27</v>
      </c>
      <c r="F3447" s="93">
        <f>-((D3447-C3447)/D3447)</f>
        <v>0.060790858757906074</v>
      </c>
      <c r="G3447" s="92">
        <f>C3447-D3447</f>
        <v>4.0906168858195</v>
      </c>
      <c r="H3447" s="91">
        <v>450</v>
      </c>
      <c r="I3447" s="91" t="s">
        <v>393</v>
      </c>
    </row>
    <row r="3448" spans="1:9" ht="12.75">
      <c r="A3448" s="94"/>
      <c r="B3448" s="90" t="s">
        <v>312</v>
      </c>
      <c r="C3448" s="92">
        <f>(8/6)^1.74*E3448</f>
        <v>61.02077694953694</v>
      </c>
      <c r="D3448" s="91">
        <v>57.64</v>
      </c>
      <c r="E3448" s="91">
        <v>36.99</v>
      </c>
      <c r="F3448" s="93">
        <f>-((D3448-C3448)/D3448)</f>
        <v>0.0586533127955749</v>
      </c>
      <c r="G3448" s="92">
        <f>C3448-D3448</f>
        <v>3.380776949536937</v>
      </c>
      <c r="H3448" s="91">
        <v>450</v>
      </c>
      <c r="I3448" s="91" t="s">
        <v>393</v>
      </c>
    </row>
    <row r="3449" spans="1:9" ht="12.75">
      <c r="A3449" s="94"/>
      <c r="B3449" s="90" t="s">
        <v>300</v>
      </c>
      <c r="C3449" s="92">
        <f>(8/6)^1.74*E3449</f>
        <v>55.29647048792858</v>
      </c>
      <c r="D3449" s="91">
        <v>52.31</v>
      </c>
      <c r="E3449" s="91">
        <v>33.52</v>
      </c>
      <c r="F3449" s="93">
        <f>-((D3449-C3449)/D3449)</f>
        <v>0.05709176998525288</v>
      </c>
      <c r="G3449" s="92">
        <f>C3449-D3449</f>
        <v>2.986470487928578</v>
      </c>
      <c r="H3449" s="91">
        <v>450</v>
      </c>
      <c r="I3449" s="91" t="s">
        <v>393</v>
      </c>
    </row>
    <row r="3450" spans="1:9" ht="12.75">
      <c r="A3450" s="94"/>
      <c r="B3450" s="90" t="s">
        <v>299</v>
      </c>
      <c r="C3450" s="92">
        <f>(8/6)^1.74*E3450</f>
        <v>39.3442965733024</v>
      </c>
      <c r="D3450" s="91">
        <v>37.36</v>
      </c>
      <c r="E3450" s="91">
        <v>23.85</v>
      </c>
      <c r="F3450" s="93">
        <f>-((D3450-C3450)/D3450)</f>
        <v>0.05311286331109212</v>
      </c>
      <c r="G3450" s="92">
        <f>C3450-D3450</f>
        <v>1.9842965733024016</v>
      </c>
      <c r="H3450" s="91">
        <v>450</v>
      </c>
      <c r="I3450" s="91" t="s">
        <v>393</v>
      </c>
    </row>
    <row r="3451" spans="1:9" ht="12.75">
      <c r="A3451" s="94"/>
      <c r="B3451" s="90" t="s">
        <v>288</v>
      </c>
      <c r="C3451" s="92">
        <f>(8/6)^1.74*E3451</f>
        <v>50.644440452846275</v>
      </c>
      <c r="D3451" s="91">
        <v>54.6</v>
      </c>
      <c r="E3451" s="91">
        <v>30.7</v>
      </c>
      <c r="F3451" s="93">
        <f>-((D3451-C3451)/D3451)</f>
        <v>-0.07244614555226604</v>
      </c>
      <c r="G3451" s="92">
        <f>C3451-D3451</f>
        <v>-3.955559547153726</v>
      </c>
      <c r="H3451" s="91">
        <v>450</v>
      </c>
      <c r="I3451" s="91" t="s">
        <v>393</v>
      </c>
    </row>
    <row r="3452" spans="1:9" ht="12.75">
      <c r="A3452" s="94"/>
      <c r="B3452" s="90" t="s">
        <v>284</v>
      </c>
      <c r="C3452" s="92">
        <f>(8/6)^1.74*E3452</f>
        <v>65.16141361196834</v>
      </c>
      <c r="D3452" s="91">
        <v>69.17</v>
      </c>
      <c r="E3452" s="91">
        <v>39.5</v>
      </c>
      <c r="F3452" s="93">
        <f>-((D3452-C3452)/D3452)</f>
        <v>-0.05795267295115888</v>
      </c>
      <c r="G3452" s="92">
        <f>C3452-D3452</f>
        <v>-4.0085863880316595</v>
      </c>
      <c r="H3452" s="91">
        <v>450</v>
      </c>
      <c r="I3452" s="91" t="s">
        <v>393</v>
      </c>
    </row>
    <row r="3453" spans="1:9" ht="12.75">
      <c r="A3453" s="94"/>
      <c r="B3453" s="90" t="s">
        <v>286</v>
      </c>
      <c r="C3453" s="92">
        <f>(8/6)^1.74*E3453</f>
        <v>55.708884498130914</v>
      </c>
      <c r="D3453" s="91">
        <v>56.18</v>
      </c>
      <c r="E3453" s="91">
        <v>33.77</v>
      </c>
      <c r="F3453" s="93">
        <f>-((D3453-C3453)/D3453)</f>
        <v>-0.00838582238998017</v>
      </c>
      <c r="G3453" s="92">
        <f>C3453-D3453</f>
        <v>-0.471115501869086</v>
      </c>
      <c r="H3453" s="91">
        <v>450</v>
      </c>
      <c r="I3453" s="91" t="s">
        <v>393</v>
      </c>
    </row>
    <row r="3454" spans="1:9" ht="12.75">
      <c r="A3454" s="94"/>
      <c r="B3454" s="90" t="s">
        <v>289</v>
      </c>
      <c r="C3454" s="92">
        <f>(8/6)^1.74*E3454</f>
        <v>49.671143388768776</v>
      </c>
      <c r="D3454" s="91">
        <v>55.15</v>
      </c>
      <c r="E3454" s="91">
        <v>30.11</v>
      </c>
      <c r="F3454" s="93">
        <f>-((D3454-C3454)/D3454)</f>
        <v>-0.09934463483646823</v>
      </c>
      <c r="G3454" s="92">
        <f>C3454-D3454</f>
        <v>-5.4788566112312225</v>
      </c>
      <c r="H3454" s="91">
        <v>450</v>
      </c>
      <c r="I3454" s="91" t="s">
        <v>393</v>
      </c>
    </row>
    <row r="3455" spans="2:9" ht="12.75">
      <c r="B3455" s="90" t="s">
        <v>308</v>
      </c>
      <c r="C3455" s="92">
        <f>(8/6)^1.74*E3455</f>
        <v>61.3672047181069</v>
      </c>
      <c r="D3455" s="91">
        <v>58.25</v>
      </c>
      <c r="E3455" s="91">
        <v>37.2</v>
      </c>
      <c r="F3455" s="93">
        <f>-((D3455-C3455)/D3455)</f>
        <v>0.05351424408767206</v>
      </c>
      <c r="G3455" s="92">
        <f>C3455-D3455</f>
        <v>3.1172047181068976</v>
      </c>
      <c r="H3455" s="91">
        <v>450</v>
      </c>
      <c r="I3455" s="91" t="s">
        <v>393</v>
      </c>
    </row>
    <row r="3456" spans="2:9" ht="12.75">
      <c r="B3456" s="90" t="s">
        <v>287</v>
      </c>
      <c r="C3456" s="92">
        <f>(8/6)^1.74*E3456</f>
        <v>55.708884498130914</v>
      </c>
      <c r="D3456" s="91">
        <v>56.65</v>
      </c>
      <c r="E3456" s="91">
        <v>33.77</v>
      </c>
      <c r="F3456" s="93">
        <f>-((D3456-C3456)/D3456)</f>
        <v>-0.016612806740848807</v>
      </c>
      <c r="G3456" s="92">
        <f>C3456-D3456</f>
        <v>-0.9411155018690849</v>
      </c>
      <c r="H3456" s="91">
        <v>450</v>
      </c>
      <c r="I3456" s="91" t="s">
        <v>393</v>
      </c>
    </row>
    <row r="3457" spans="2:9" ht="12.75">
      <c r="B3457" s="90" t="s">
        <v>242</v>
      </c>
      <c r="C3457" s="92">
        <f>(8/6)^1.74*E3457</f>
        <v>45.33254800144025</v>
      </c>
      <c r="D3457" s="91">
        <v>46.04</v>
      </c>
      <c r="E3457" s="91">
        <v>27.48</v>
      </c>
      <c r="F3457" s="93">
        <f>-((D3457-C3457)/D3457)</f>
        <v>-0.01536602950824821</v>
      </c>
      <c r="G3457" s="92">
        <f>C3457-D3457</f>
        <v>-0.7074519985597476</v>
      </c>
      <c r="H3457" s="91">
        <v>450</v>
      </c>
      <c r="I3457" s="91" t="s">
        <v>393</v>
      </c>
    </row>
    <row r="3458" spans="5:7" ht="12.75">
      <c r="E3458" s="91" t="s">
        <v>14</v>
      </c>
      <c r="F3458" s="93">
        <f>AVERAGE(F3447:F3457)</f>
        <v>0.0011868124507752452</v>
      </c>
      <c r="G3458" s="92">
        <f>AVERAGE(G3447:G3457)</f>
        <v>-0.0003018121836556082</v>
      </c>
    </row>
    <row r="3460" spans="1:9" ht="12.75">
      <c r="A3460" s="94" t="s">
        <v>0</v>
      </c>
      <c r="B3460" s="94" t="s">
        <v>1</v>
      </c>
      <c r="C3460" s="95" t="s">
        <v>349</v>
      </c>
      <c r="D3460" s="95" t="s">
        <v>206</v>
      </c>
      <c r="E3460" s="95" t="s">
        <v>194</v>
      </c>
      <c r="F3460" s="95" t="s">
        <v>5</v>
      </c>
      <c r="G3460" s="95" t="s">
        <v>6</v>
      </c>
      <c r="H3460" s="95" t="s">
        <v>7</v>
      </c>
      <c r="I3460" s="95" t="s">
        <v>8</v>
      </c>
    </row>
    <row r="3461" spans="1:9" ht="12.75">
      <c r="A3461" s="94" t="s">
        <v>392</v>
      </c>
      <c r="B3461" s="94" t="s">
        <v>316</v>
      </c>
      <c r="C3461" s="96">
        <f>(8/6)^2*E3461</f>
        <v>76.92444444444445</v>
      </c>
      <c r="D3461" s="95">
        <v>67.29</v>
      </c>
      <c r="E3461" s="95">
        <v>43.27</v>
      </c>
      <c r="F3461" s="97">
        <f>-((D3461-C3461)/D3461)</f>
        <v>0.14317795280791262</v>
      </c>
      <c r="G3461" s="96">
        <f>C3461-D3461</f>
        <v>9.63444444444444</v>
      </c>
      <c r="H3461" s="95">
        <v>450</v>
      </c>
      <c r="I3461" s="95" t="s">
        <v>393</v>
      </c>
    </row>
    <row r="3462" spans="1:9" ht="12.75">
      <c r="A3462" s="94"/>
      <c r="B3462" s="94" t="s">
        <v>312</v>
      </c>
      <c r="C3462" s="96">
        <f>(8/6)^2*E3462</f>
        <v>65.76</v>
      </c>
      <c r="D3462" s="95">
        <v>57.64</v>
      </c>
      <c r="E3462" s="95">
        <v>36.99</v>
      </c>
      <c r="F3462" s="97">
        <f>-((D3462-C3462)/D3462)</f>
        <v>0.14087439278278982</v>
      </c>
      <c r="G3462" s="96">
        <f>C3462-D3462</f>
        <v>8.120000000000005</v>
      </c>
      <c r="H3462" s="95">
        <v>450</v>
      </c>
      <c r="I3462" s="95" t="s">
        <v>393</v>
      </c>
    </row>
    <row r="3463" spans="1:9" ht="12.75">
      <c r="A3463" s="94"/>
      <c r="B3463" s="94" t="s">
        <v>300</v>
      </c>
      <c r="C3463" s="96">
        <f>(8/6)^2*E3463</f>
        <v>59.59111111111111</v>
      </c>
      <c r="D3463" s="95">
        <v>52.31</v>
      </c>
      <c r="E3463" s="95">
        <v>33.52</v>
      </c>
      <c r="F3463" s="97">
        <f>-((D3463-C3463)/D3463)</f>
        <v>0.1391915716136706</v>
      </c>
      <c r="G3463" s="96">
        <f>C3463-D3463</f>
        <v>7.281111111111109</v>
      </c>
      <c r="H3463" s="95">
        <v>450</v>
      </c>
      <c r="I3463" s="95" t="s">
        <v>393</v>
      </c>
    </row>
    <row r="3464" spans="1:9" ht="12.75">
      <c r="A3464" s="94"/>
      <c r="B3464" s="94" t="s">
        <v>299</v>
      </c>
      <c r="C3464" s="96">
        <f>(8/6)^2*E3464</f>
        <v>42.4</v>
      </c>
      <c r="D3464" s="95">
        <v>37.36</v>
      </c>
      <c r="E3464" s="95">
        <v>23.85</v>
      </c>
      <c r="F3464" s="97">
        <f>-((D3464-C3464)/D3464)</f>
        <v>0.1349036402569593</v>
      </c>
      <c r="G3464" s="96">
        <f>C3464-D3464</f>
        <v>5.039999999999999</v>
      </c>
      <c r="H3464" s="95">
        <v>450</v>
      </c>
      <c r="I3464" s="95" t="s">
        <v>393</v>
      </c>
    </row>
    <row r="3465" spans="1:9" ht="12.75">
      <c r="A3465" s="94"/>
      <c r="B3465" s="94" t="s">
        <v>288</v>
      </c>
      <c r="C3465" s="96">
        <f>(8/6)^2*E3465</f>
        <v>54.577777777777776</v>
      </c>
      <c r="D3465" s="95">
        <v>54.6</v>
      </c>
      <c r="E3465" s="95">
        <v>30.7</v>
      </c>
      <c r="F3465" s="97">
        <f>-((D3465-C3465)/D3465)</f>
        <v>-0.0004070004070004706</v>
      </c>
      <c r="G3465" s="96">
        <f>C3465-D3465</f>
        <v>-0.022222222222225696</v>
      </c>
      <c r="H3465" s="95">
        <v>450</v>
      </c>
      <c r="I3465" s="95" t="s">
        <v>393</v>
      </c>
    </row>
    <row r="3466" spans="1:9" ht="12.75">
      <c r="A3466" s="94"/>
      <c r="B3466" s="94" t="s">
        <v>284</v>
      </c>
      <c r="C3466" s="96">
        <f>(8/6)^2*E3466</f>
        <v>70.22222222222221</v>
      </c>
      <c r="D3466" s="95">
        <v>69.17</v>
      </c>
      <c r="E3466" s="95">
        <v>39.5</v>
      </c>
      <c r="F3466" s="97">
        <f>-((D3466-C3466)/D3466)</f>
        <v>0.015212118291487822</v>
      </c>
      <c r="G3466" s="96">
        <f>C3466-D3466</f>
        <v>1.0522222222222126</v>
      </c>
      <c r="H3466" s="95">
        <v>450</v>
      </c>
      <c r="I3466" s="95" t="s">
        <v>393</v>
      </c>
    </row>
    <row r="3467" spans="1:9" ht="12.75">
      <c r="A3467" s="94"/>
      <c r="B3467" s="94" t="s">
        <v>286</v>
      </c>
      <c r="C3467" s="96">
        <f>(8/6)^2*E3467</f>
        <v>60.03555555555556</v>
      </c>
      <c r="D3467" s="95">
        <v>56.18</v>
      </c>
      <c r="E3467" s="95">
        <v>33.77</v>
      </c>
      <c r="F3467" s="97">
        <f>-((D3467-C3467)/D3467)</f>
        <v>0.06862861437443149</v>
      </c>
      <c r="G3467" s="96">
        <f>C3467-D3467</f>
        <v>3.8555555555555614</v>
      </c>
      <c r="H3467" s="95">
        <v>450</v>
      </c>
      <c r="I3467" s="95" t="s">
        <v>393</v>
      </c>
    </row>
    <row r="3468" spans="1:9" ht="12.75">
      <c r="A3468" s="94"/>
      <c r="B3468" s="94" t="s">
        <v>289</v>
      </c>
      <c r="C3468" s="96">
        <f>(8/6)^2*E3468</f>
        <v>53.528888888888886</v>
      </c>
      <c r="D3468" s="95">
        <v>55.15</v>
      </c>
      <c r="E3468" s="95">
        <v>30.11</v>
      </c>
      <c r="F3468" s="97">
        <f>-((D3468-C3468)/D3468)</f>
        <v>-0.02939458043719152</v>
      </c>
      <c r="G3468" s="96">
        <f>C3468-D3468</f>
        <v>-1.6211111111111123</v>
      </c>
      <c r="H3468" s="95">
        <v>450</v>
      </c>
      <c r="I3468" s="95" t="s">
        <v>393</v>
      </c>
    </row>
    <row r="3469" spans="1:9" ht="12.75">
      <c r="A3469" s="5"/>
      <c r="B3469" s="94" t="s">
        <v>308</v>
      </c>
      <c r="C3469" s="96">
        <f>(8/6)^2*E3469</f>
        <v>66.13333333333334</v>
      </c>
      <c r="D3469" s="95">
        <v>58.25</v>
      </c>
      <c r="E3469" s="95">
        <v>37.2</v>
      </c>
      <c r="F3469" s="97">
        <f>-((D3469-C3469)/D3469)</f>
        <v>0.1353361945636625</v>
      </c>
      <c r="G3469" s="96">
        <f>C3469-D3469</f>
        <v>7.88333333333334</v>
      </c>
      <c r="H3469" s="95">
        <v>450</v>
      </c>
      <c r="I3469" s="95" t="s">
        <v>393</v>
      </c>
    </row>
    <row r="3470" spans="1:9" ht="12.75">
      <c r="A3470" s="5"/>
      <c r="B3470" s="94" t="s">
        <v>287</v>
      </c>
      <c r="C3470" s="96">
        <f>(8/6)^2*E3470</f>
        <v>60.03555555555556</v>
      </c>
      <c r="D3470" s="95">
        <v>56.65</v>
      </c>
      <c r="E3470" s="95">
        <v>33.77</v>
      </c>
      <c r="F3470" s="97">
        <f>-((D3470-C3470)/D3470)</f>
        <v>0.059762675296656007</v>
      </c>
      <c r="G3470" s="96">
        <f>C3470-D3470</f>
        <v>3.3855555555555625</v>
      </c>
      <c r="H3470" s="95">
        <v>450</v>
      </c>
      <c r="I3470" s="95" t="s">
        <v>393</v>
      </c>
    </row>
    <row r="3471" spans="1:9" ht="12.75">
      <c r="A3471" s="5"/>
      <c r="B3471" s="94" t="s">
        <v>242</v>
      </c>
      <c r="C3471" s="96">
        <f>(8/6)^2*E3471</f>
        <v>48.85333333333333</v>
      </c>
      <c r="D3471" s="95">
        <v>46.04</v>
      </c>
      <c r="E3471" s="95">
        <v>27.48</v>
      </c>
      <c r="F3471" s="97">
        <f>-((D3471-C3471)/D3471)</f>
        <v>0.06110628439038516</v>
      </c>
      <c r="G3471" s="96">
        <f>C3471-D3471</f>
        <v>2.8133333333333326</v>
      </c>
      <c r="H3471" s="95">
        <v>450</v>
      </c>
      <c r="I3471" s="95" t="s">
        <v>393</v>
      </c>
    </row>
    <row r="3472" spans="1:9" ht="12.75">
      <c r="A3472" s="5"/>
      <c r="B3472" s="5"/>
      <c r="C3472" s="5"/>
      <c r="D3472" s="5"/>
      <c r="E3472" s="95" t="s">
        <v>14</v>
      </c>
      <c r="F3472" s="97">
        <f>AVERAGE(F3461:F3471)</f>
        <v>0.07894471486670575</v>
      </c>
      <c r="G3472" s="96">
        <f>AVERAGE(G3461:G3471)</f>
        <v>4.311111111111111</v>
      </c>
      <c r="H3472" s="5"/>
      <c r="I3472" s="5"/>
    </row>
    <row r="3474" spans="1:9" ht="12.75">
      <c r="A3474" s="79" t="s">
        <v>0</v>
      </c>
      <c r="B3474" s="79" t="s">
        <v>1</v>
      </c>
      <c r="C3474" s="80" t="s">
        <v>395</v>
      </c>
      <c r="D3474" s="80" t="s">
        <v>194</v>
      </c>
      <c r="E3474" s="80" t="s">
        <v>218</v>
      </c>
      <c r="F3474" s="80" t="s">
        <v>5</v>
      </c>
      <c r="G3474" s="80" t="s">
        <v>6</v>
      </c>
      <c r="H3474" s="80" t="s">
        <v>7</v>
      </c>
      <c r="I3474" s="80" t="s">
        <v>8</v>
      </c>
    </row>
    <row r="3475" spans="1:9" ht="12.75">
      <c r="A3475" s="79" t="s">
        <v>396</v>
      </c>
      <c r="B3475" s="79" t="s">
        <v>339</v>
      </c>
      <c r="C3475" s="81">
        <f>(6/5)^1.59*E3475</f>
        <v>54.94792378642619</v>
      </c>
      <c r="D3475" s="80">
        <v>53.39</v>
      </c>
      <c r="E3475" s="80">
        <v>41.12</v>
      </c>
      <c r="F3475" s="82">
        <f>-((D3475-C3475)/D3475)</f>
        <v>0.029180067174118505</v>
      </c>
      <c r="G3475" s="81">
        <f>C3475-D3475</f>
        <v>1.557923786426187</v>
      </c>
      <c r="H3475" s="80">
        <v>390</v>
      </c>
      <c r="I3475" s="80" t="s">
        <v>397</v>
      </c>
    </row>
    <row r="3476" spans="2:9" ht="12.75">
      <c r="B3476" s="79" t="s">
        <v>340</v>
      </c>
      <c r="C3476" s="81">
        <f>(6/5)^1.59*E3476</f>
        <v>43.48262256834408</v>
      </c>
      <c r="D3476" s="80">
        <v>41.23</v>
      </c>
      <c r="E3476" s="80">
        <v>32.54</v>
      </c>
      <c r="F3476" s="82">
        <f>-((D3476-C3476)/D3476)</f>
        <v>0.0546355219098734</v>
      </c>
      <c r="G3476" s="81">
        <f>C3476-D3476</f>
        <v>2.25262256834408</v>
      </c>
      <c r="H3476" s="80">
        <v>390</v>
      </c>
      <c r="I3476" s="80" t="s">
        <v>397</v>
      </c>
    </row>
    <row r="3477" spans="2:9" ht="12.75">
      <c r="B3477" s="79" t="s">
        <v>341</v>
      </c>
      <c r="C3477" s="81">
        <f>(6/5)^1.59*E3477</f>
        <v>36.49386669764833</v>
      </c>
      <c r="D3477" s="80">
        <v>37.05</v>
      </c>
      <c r="E3477" s="80">
        <v>27.31</v>
      </c>
      <c r="F3477" s="82">
        <f>-((D3477-C3477)/D3477)</f>
        <v>-0.015010345542555146</v>
      </c>
      <c r="G3477" s="81">
        <f>C3477-D3477</f>
        <v>-0.5561333023516681</v>
      </c>
      <c r="H3477" s="80">
        <v>390</v>
      </c>
      <c r="I3477" s="80" t="s">
        <v>397</v>
      </c>
    </row>
    <row r="3478" spans="2:9" ht="12.75">
      <c r="B3478" s="79" t="s">
        <v>334</v>
      </c>
      <c r="C3478" s="81">
        <f>(6/5)^1.59*E3478</f>
        <v>36.29342436866088</v>
      </c>
      <c r="D3478" s="80">
        <v>35.73</v>
      </c>
      <c r="E3478" s="80">
        <v>27.16</v>
      </c>
      <c r="F3478" s="82">
        <f>-((D3478-C3478)/D3478)</f>
        <v>0.01576894398715037</v>
      </c>
      <c r="G3478" s="81">
        <f>C3478-D3478</f>
        <v>0.5634243686608826</v>
      </c>
      <c r="H3478" s="80">
        <v>390</v>
      </c>
      <c r="I3478" s="80" t="s">
        <v>397</v>
      </c>
    </row>
    <row r="3479" spans="2:9" ht="12.75">
      <c r="B3479" s="79" t="s">
        <v>316</v>
      </c>
      <c r="C3479" s="81">
        <f>(6/5)^1.59*E3479</f>
        <v>30.253428855172398</v>
      </c>
      <c r="D3479" s="80">
        <v>29.98</v>
      </c>
      <c r="E3479" s="80">
        <v>22.64</v>
      </c>
      <c r="F3479" s="82">
        <f>-((D3479-C3479)/D3479)</f>
        <v>0.009120375422695056</v>
      </c>
      <c r="G3479" s="81">
        <f>C3479-D3479</f>
        <v>0.2734288551723978</v>
      </c>
      <c r="H3479" s="80">
        <v>390</v>
      </c>
      <c r="I3479" s="80" t="s">
        <v>397</v>
      </c>
    </row>
    <row r="3480" spans="2:9" ht="12.75">
      <c r="B3480" s="79" t="s">
        <v>364</v>
      </c>
      <c r="C3480" s="81">
        <f>(6/5)^1.59*E3480</f>
        <v>56.377745733203334</v>
      </c>
      <c r="D3480" s="80">
        <v>55.34</v>
      </c>
      <c r="E3480" s="80">
        <v>42.19</v>
      </c>
      <c r="F3480" s="82">
        <f>-((D3480-C3480)/D3480)</f>
        <v>0.018752181662510484</v>
      </c>
      <c r="G3480" s="81">
        <f>C3480-D3480</f>
        <v>1.0377457332033302</v>
      </c>
      <c r="H3480" s="80">
        <v>390</v>
      </c>
      <c r="I3480" s="80" t="s">
        <v>397</v>
      </c>
    </row>
    <row r="3481" spans="2:9" ht="12.75">
      <c r="B3481" s="79" t="s">
        <v>342</v>
      </c>
      <c r="C3481" s="81">
        <f>(6/5)^1.59*E3481</f>
        <v>48.30660128597536</v>
      </c>
      <c r="D3481" s="80">
        <v>47.65</v>
      </c>
      <c r="E3481" s="80">
        <v>36.15</v>
      </c>
      <c r="F3481" s="82">
        <f>-((D3481-C3481)/D3481)</f>
        <v>0.013779670219839722</v>
      </c>
      <c r="G3481" s="81">
        <f>C3481-D3481</f>
        <v>0.6566012859753627</v>
      </c>
      <c r="H3481" s="80">
        <v>390</v>
      </c>
      <c r="I3481" s="80" t="s">
        <v>397</v>
      </c>
    </row>
    <row r="3482" spans="2:9" ht="12.75">
      <c r="B3482" s="79" t="s">
        <v>343</v>
      </c>
      <c r="C3482" s="81">
        <f>(6/5)^1.59*E3482</f>
        <v>55.76305592430848</v>
      </c>
      <c r="D3482" s="80">
        <v>54.37</v>
      </c>
      <c r="E3482" s="80">
        <v>41.73</v>
      </c>
      <c r="F3482" s="82">
        <f>-((D3482-C3482)/D3482)</f>
        <v>0.02562177532294435</v>
      </c>
      <c r="G3482" s="81">
        <f>C3482-D3482</f>
        <v>1.3930559243084844</v>
      </c>
      <c r="H3482" s="80">
        <v>390</v>
      </c>
      <c r="I3482" s="80" t="s">
        <v>397</v>
      </c>
    </row>
    <row r="3483" spans="2:9" ht="12.75">
      <c r="B3483" s="79" t="s">
        <v>344</v>
      </c>
      <c r="C3483" s="81">
        <f>(6/5)^1.59*E3483</f>
        <v>46.569434434750804</v>
      </c>
      <c r="D3483" s="80">
        <v>48.09</v>
      </c>
      <c r="E3483" s="80">
        <v>34.85</v>
      </c>
      <c r="F3483" s="82">
        <f>-((D3483-C3483)/D3483)</f>
        <v>-0.03161916334475358</v>
      </c>
      <c r="G3483" s="81">
        <f>C3483-D3483</f>
        <v>-1.5205655652491998</v>
      </c>
      <c r="H3483" s="80">
        <v>390</v>
      </c>
      <c r="I3483" s="80" t="s">
        <v>397</v>
      </c>
    </row>
    <row r="3484" spans="2:9" ht="12.75">
      <c r="B3484" s="79" t="s">
        <v>366</v>
      </c>
      <c r="C3484" s="81">
        <f>(6/5)^1.59*E3484</f>
        <v>57.767479214182984</v>
      </c>
      <c r="D3484" s="80">
        <v>57</v>
      </c>
      <c r="E3484" s="80">
        <v>43.23</v>
      </c>
      <c r="F3484" s="82">
        <f>-((D3484-C3484)/D3484)</f>
        <v>0.013464547617245333</v>
      </c>
      <c r="G3484" s="81">
        <f>C3484-D3484</f>
        <v>0.767479214182984</v>
      </c>
      <c r="H3484" s="80">
        <v>390</v>
      </c>
      <c r="I3484" s="80" t="s">
        <v>397</v>
      </c>
    </row>
    <row r="3485" spans="2:9" ht="12.75">
      <c r="B3485" s="79" t="s">
        <v>345</v>
      </c>
      <c r="C3485" s="81">
        <f>(6/5)^1.59*E3485</f>
        <v>46.743151119873254</v>
      </c>
      <c r="D3485" s="80">
        <v>48.49</v>
      </c>
      <c r="E3485" s="80">
        <v>34.98</v>
      </c>
      <c r="F3485" s="82">
        <f>-((D3485-C3485)/D3485)</f>
        <v>-0.03602493050374816</v>
      </c>
      <c r="G3485" s="81">
        <f>C3485-D3485</f>
        <v>-1.7468488801267483</v>
      </c>
      <c r="H3485" s="80">
        <v>390</v>
      </c>
      <c r="I3485" s="80" t="s">
        <v>397</v>
      </c>
    </row>
    <row r="3486" spans="2:9" ht="12.75">
      <c r="B3486" s="79" t="s">
        <v>346</v>
      </c>
      <c r="C3486" s="81">
        <f>(6/5)^1.59*E3486</f>
        <v>41.95926086803946</v>
      </c>
      <c r="D3486" s="80">
        <v>44.19</v>
      </c>
      <c r="E3486" s="80">
        <v>31.4</v>
      </c>
      <c r="F3486" s="82">
        <f>-((D3486-C3486)/D3486)</f>
        <v>-0.05048063208781489</v>
      </c>
      <c r="G3486" s="81">
        <f>C3486-D3486</f>
        <v>-2.23073913196054</v>
      </c>
      <c r="H3486" s="80">
        <v>390</v>
      </c>
      <c r="I3486" s="80" t="s">
        <v>397</v>
      </c>
    </row>
    <row r="3487" spans="2:9" ht="12.75">
      <c r="B3487" s="79" t="s">
        <v>335</v>
      </c>
      <c r="C3487" s="81">
        <f>(6/5)^1.59*E3487</f>
        <v>39.781120893042505</v>
      </c>
      <c r="D3487" s="80">
        <v>41.36</v>
      </c>
      <c r="E3487" s="80">
        <v>29.77</v>
      </c>
      <c r="F3487" s="82">
        <f>-((D3487-C3487)/D3487)</f>
        <v>-0.03817405964597423</v>
      </c>
      <c r="G3487" s="81">
        <f>C3487-D3487</f>
        <v>-1.5788791069574941</v>
      </c>
      <c r="H3487" s="80">
        <v>390</v>
      </c>
      <c r="I3487" s="80" t="s">
        <v>397</v>
      </c>
    </row>
    <row r="3488" spans="2:9" ht="12.75">
      <c r="B3488" s="79" t="s">
        <v>317</v>
      </c>
      <c r="C3488" s="81">
        <f>(6/5)^1.59*E3488</f>
        <v>28.32918249689288</v>
      </c>
      <c r="D3488" s="80">
        <v>28.38</v>
      </c>
      <c r="E3488" s="80">
        <v>21.2</v>
      </c>
      <c r="F3488" s="82">
        <f>-((D3488-C3488)/D3488)</f>
        <v>-0.0017906096936969333</v>
      </c>
      <c r="G3488" s="81">
        <f>C3488-D3488</f>
        <v>-0.050817503107118966</v>
      </c>
      <c r="H3488" s="80">
        <v>390</v>
      </c>
      <c r="I3488" s="80" t="s">
        <v>397</v>
      </c>
    </row>
    <row r="3489" spans="2:9" ht="12.75">
      <c r="B3489" s="79" t="s">
        <v>318</v>
      </c>
      <c r="C3489" s="81">
        <f>(6/5)^1.59*E3489</f>
        <v>40.342359414207365</v>
      </c>
      <c r="D3489" s="80">
        <v>40.22</v>
      </c>
      <c r="E3489" s="80">
        <v>30.19</v>
      </c>
      <c r="F3489" s="82">
        <f>-((D3489-C3489)/D3489)</f>
        <v>0.0030422529638828074</v>
      </c>
      <c r="G3489" s="81">
        <f>C3489-D3489</f>
        <v>0.12235941420736651</v>
      </c>
      <c r="H3489" s="80">
        <v>390</v>
      </c>
      <c r="I3489" s="80" t="s">
        <v>397</v>
      </c>
    </row>
    <row r="3490" spans="5:7" ht="12.75">
      <c r="E3490" s="80" t="s">
        <v>14</v>
      </c>
      <c r="F3490" s="82">
        <f>AVERAGE(F3475:F3489)</f>
        <v>0.0006843730307811387</v>
      </c>
      <c r="G3490" s="81">
        <f>AVERAGE(G3475:G3489)</f>
        <v>0.06271051071522038</v>
      </c>
    </row>
    <row r="3492" spans="1:9" ht="12.75">
      <c r="A3492" s="83" t="s">
        <v>0</v>
      </c>
      <c r="B3492" s="83" t="s">
        <v>1</v>
      </c>
      <c r="C3492" s="84" t="s">
        <v>247</v>
      </c>
      <c r="D3492" s="84" t="s">
        <v>194</v>
      </c>
      <c r="E3492" s="84" t="s">
        <v>218</v>
      </c>
      <c r="F3492" s="84" t="s">
        <v>5</v>
      </c>
      <c r="G3492" s="84" t="s">
        <v>6</v>
      </c>
      <c r="H3492" s="84" t="s">
        <v>7</v>
      </c>
      <c r="I3492" s="84" t="s">
        <v>8</v>
      </c>
    </row>
    <row r="3493" spans="1:9" ht="12.75">
      <c r="A3493" s="83" t="s">
        <v>396</v>
      </c>
      <c r="B3493" s="83" t="s">
        <v>339</v>
      </c>
      <c r="C3493" s="85">
        <f>(6/5)^2*E3493</f>
        <v>59.212799999999994</v>
      </c>
      <c r="D3493" s="84">
        <v>53.39</v>
      </c>
      <c r="E3493" s="84">
        <v>41.12</v>
      </c>
      <c r="F3493" s="86">
        <f>-((D3493-C3493)/D3493)</f>
        <v>0.10906162202659662</v>
      </c>
      <c r="G3493" s="85">
        <f>C3493-D3493</f>
        <v>5.822799999999994</v>
      </c>
      <c r="H3493" s="84">
        <v>390</v>
      </c>
      <c r="I3493" s="84" t="s">
        <v>397</v>
      </c>
    </row>
    <row r="3494" spans="1:9" ht="12.75">
      <c r="A3494" s="5"/>
      <c r="B3494" s="83" t="s">
        <v>340</v>
      </c>
      <c r="C3494" s="85">
        <f>(6/5)^2*E3494</f>
        <v>46.8576</v>
      </c>
      <c r="D3494" s="84">
        <v>41.23</v>
      </c>
      <c r="E3494" s="84">
        <v>32.54</v>
      </c>
      <c r="F3494" s="86">
        <f>-((D3494-C3494)/D3494)</f>
        <v>0.13649284501576525</v>
      </c>
      <c r="G3494" s="85">
        <f>C3494-D3494</f>
        <v>5.627600000000001</v>
      </c>
      <c r="H3494" s="84">
        <v>390</v>
      </c>
      <c r="I3494" s="84" t="s">
        <v>397</v>
      </c>
    </row>
    <row r="3495" spans="1:9" ht="12.75">
      <c r="A3495" s="5"/>
      <c r="B3495" s="83" t="s">
        <v>341</v>
      </c>
      <c r="C3495" s="85">
        <f>(6/5)^2*E3495</f>
        <v>39.3264</v>
      </c>
      <c r="D3495" s="84">
        <v>37.05</v>
      </c>
      <c r="E3495" s="84">
        <v>27.31</v>
      </c>
      <c r="F3495" s="86">
        <f>-((D3495-C3495)/D3495)</f>
        <v>0.06144129554655878</v>
      </c>
      <c r="G3495" s="85">
        <f>C3495-D3495</f>
        <v>2.2764000000000024</v>
      </c>
      <c r="H3495" s="84">
        <v>390</v>
      </c>
      <c r="I3495" s="84" t="s">
        <v>397</v>
      </c>
    </row>
    <row r="3496" spans="1:9" ht="12.75">
      <c r="A3496" s="5"/>
      <c r="B3496" s="83" t="s">
        <v>334</v>
      </c>
      <c r="C3496" s="85">
        <f>(6/5)^2*E3496</f>
        <v>39.1104</v>
      </c>
      <c r="D3496" s="84">
        <v>35.73</v>
      </c>
      <c r="E3496" s="84">
        <v>27.16</v>
      </c>
      <c r="F3496" s="86">
        <f>-((D3496-C3496)/D3496)</f>
        <v>0.09460957178841316</v>
      </c>
      <c r="G3496" s="85">
        <f>C3496-D3496</f>
        <v>3.3804000000000016</v>
      </c>
      <c r="H3496" s="84">
        <v>390</v>
      </c>
      <c r="I3496" s="84" t="s">
        <v>397</v>
      </c>
    </row>
    <row r="3497" spans="1:9" ht="12.75">
      <c r="A3497" s="5"/>
      <c r="B3497" s="83" t="s">
        <v>316</v>
      </c>
      <c r="C3497" s="85">
        <f>(6/5)^2*E3497</f>
        <v>32.6016</v>
      </c>
      <c r="D3497" s="84">
        <v>29.98</v>
      </c>
      <c r="E3497" s="84">
        <v>22.64</v>
      </c>
      <c r="F3497" s="86">
        <f>-((D3497-C3497)/D3497)</f>
        <v>0.08744496330887248</v>
      </c>
      <c r="G3497" s="85">
        <f>C3497-D3497</f>
        <v>2.6215999999999973</v>
      </c>
      <c r="H3497" s="84">
        <v>390</v>
      </c>
      <c r="I3497" s="84" t="s">
        <v>397</v>
      </c>
    </row>
    <row r="3498" spans="1:9" ht="12.75">
      <c r="A3498" s="5"/>
      <c r="B3498" s="83" t="s">
        <v>364</v>
      </c>
      <c r="C3498" s="85">
        <f>(6/5)^2*E3498</f>
        <v>60.75359999999999</v>
      </c>
      <c r="D3498" s="84">
        <v>55.34</v>
      </c>
      <c r="E3498" s="84">
        <v>42.19</v>
      </c>
      <c r="F3498" s="86">
        <f>-((D3498-C3498)/D3498)</f>
        <v>0.09782435851102254</v>
      </c>
      <c r="G3498" s="85">
        <f>C3498-D3498</f>
        <v>5.413599999999988</v>
      </c>
      <c r="H3498" s="84">
        <v>390</v>
      </c>
      <c r="I3498" s="84" t="s">
        <v>397</v>
      </c>
    </row>
    <row r="3499" spans="1:9" ht="12.75">
      <c r="A3499" s="5"/>
      <c r="B3499" s="83" t="s">
        <v>342</v>
      </c>
      <c r="C3499" s="85">
        <f>(6/5)^2*E3499</f>
        <v>52.056</v>
      </c>
      <c r="D3499" s="84">
        <v>47.65</v>
      </c>
      <c r="E3499" s="84">
        <v>36.15</v>
      </c>
      <c r="F3499" s="86">
        <f>-((D3499-C3499)/D3499)</f>
        <v>0.09246589716684153</v>
      </c>
      <c r="G3499" s="85">
        <f>C3499-D3499</f>
        <v>4.405999999999999</v>
      </c>
      <c r="H3499" s="84">
        <v>390</v>
      </c>
      <c r="I3499" s="84" t="s">
        <v>397</v>
      </c>
    </row>
    <row r="3500" spans="1:9" ht="12.75">
      <c r="A3500" s="5"/>
      <c r="B3500" s="83" t="s">
        <v>343</v>
      </c>
      <c r="C3500" s="85">
        <f>(6/5)^2*E3500</f>
        <v>60.09119999999999</v>
      </c>
      <c r="D3500" s="84">
        <v>54.37</v>
      </c>
      <c r="E3500" s="84">
        <v>41.73</v>
      </c>
      <c r="F3500" s="86">
        <f>-((D3500-C3500)/D3500)</f>
        <v>0.10522714732389178</v>
      </c>
      <c r="G3500" s="85">
        <f>C3500-D3500</f>
        <v>5.721199999999996</v>
      </c>
      <c r="H3500" s="84">
        <v>390</v>
      </c>
      <c r="I3500" s="84" t="s">
        <v>397</v>
      </c>
    </row>
    <row r="3501" spans="1:9" ht="12.75">
      <c r="A3501" s="5"/>
      <c r="B3501" s="83" t="s">
        <v>344</v>
      </c>
      <c r="C3501" s="85">
        <f>(6/5)^2*E3501</f>
        <v>50.184</v>
      </c>
      <c r="D3501" s="84">
        <v>48.09</v>
      </c>
      <c r="E3501" s="84">
        <v>34.85</v>
      </c>
      <c r="F3501" s="86">
        <f>-((D3501-C3501)/D3501)</f>
        <v>0.04354335620711154</v>
      </c>
      <c r="G3501" s="85">
        <f>C3501-D3501</f>
        <v>2.093999999999994</v>
      </c>
      <c r="H3501" s="84">
        <v>390</v>
      </c>
      <c r="I3501" s="84" t="s">
        <v>397</v>
      </c>
    </row>
    <row r="3502" spans="1:9" ht="12.75">
      <c r="A3502" s="5"/>
      <c r="B3502" s="83" t="s">
        <v>366</v>
      </c>
      <c r="C3502" s="85">
        <f>(6/5)^2*E3502</f>
        <v>62.25119999999999</v>
      </c>
      <c r="D3502" s="84">
        <v>57</v>
      </c>
      <c r="E3502" s="84">
        <v>43.23</v>
      </c>
      <c r="F3502" s="86">
        <f>-((D3502-C3502)/D3502)</f>
        <v>0.09212631578947351</v>
      </c>
      <c r="G3502" s="85">
        <f>C3502-D3502</f>
        <v>5.25119999999999</v>
      </c>
      <c r="H3502" s="84">
        <v>390</v>
      </c>
      <c r="I3502" s="84" t="s">
        <v>397</v>
      </c>
    </row>
    <row r="3503" spans="1:9" ht="12.75">
      <c r="A3503" s="5"/>
      <c r="B3503" s="83" t="s">
        <v>345</v>
      </c>
      <c r="C3503" s="85">
        <f>(6/5)^2*E3503</f>
        <v>50.371199999999995</v>
      </c>
      <c r="D3503" s="84">
        <v>48.49</v>
      </c>
      <c r="E3503" s="84">
        <v>34.98</v>
      </c>
      <c r="F3503" s="86">
        <f>-((D3503-C3503)/D3503)</f>
        <v>0.038795627964528616</v>
      </c>
      <c r="G3503" s="85">
        <f>C3503-D3503</f>
        <v>1.8811999999999927</v>
      </c>
      <c r="H3503" s="84">
        <v>390</v>
      </c>
      <c r="I3503" s="84" t="s">
        <v>397</v>
      </c>
    </row>
    <row r="3504" spans="1:9" ht="12.75">
      <c r="A3504" s="5"/>
      <c r="B3504" s="83" t="s">
        <v>346</v>
      </c>
      <c r="C3504" s="85">
        <f>(6/5)^2*E3504</f>
        <v>45.215999999999994</v>
      </c>
      <c r="D3504" s="84">
        <v>44.19</v>
      </c>
      <c r="E3504" s="84">
        <v>31.4</v>
      </c>
      <c r="F3504" s="86">
        <f>-((D3504-C3504)/D3504)</f>
        <v>0.02321792260692456</v>
      </c>
      <c r="G3504" s="85">
        <f>C3504-D3504</f>
        <v>1.0259999999999962</v>
      </c>
      <c r="H3504" s="84">
        <v>390</v>
      </c>
      <c r="I3504" s="84" t="s">
        <v>397</v>
      </c>
    </row>
    <row r="3505" spans="1:9" ht="12.75">
      <c r="A3505" s="5"/>
      <c r="B3505" s="83" t="s">
        <v>335</v>
      </c>
      <c r="C3505" s="85">
        <f>(6/5)^2*E3505</f>
        <v>42.8688</v>
      </c>
      <c r="D3505" s="84">
        <v>41.36</v>
      </c>
      <c r="E3505" s="84">
        <v>29.77</v>
      </c>
      <c r="F3505" s="86">
        <f>-((D3505-C3505)/D3505)</f>
        <v>0.036479690522243736</v>
      </c>
      <c r="G3505" s="85">
        <f>C3505-D3505</f>
        <v>1.5088000000000008</v>
      </c>
      <c r="H3505" s="84">
        <v>390</v>
      </c>
      <c r="I3505" s="84" t="s">
        <v>397</v>
      </c>
    </row>
    <row r="3506" spans="1:9" ht="12.75">
      <c r="A3506" s="5"/>
      <c r="B3506" s="83" t="s">
        <v>317</v>
      </c>
      <c r="C3506" s="85">
        <f>(6/5)^2*E3506</f>
        <v>30.528</v>
      </c>
      <c r="D3506" s="84">
        <v>28.38</v>
      </c>
      <c r="E3506" s="84">
        <v>21.2</v>
      </c>
      <c r="F3506" s="86">
        <f>-((D3506-C3506)/D3506)</f>
        <v>0.07568710359408033</v>
      </c>
      <c r="G3506" s="85">
        <f>C3506-D3506</f>
        <v>2.1479999999999997</v>
      </c>
      <c r="H3506" s="84">
        <v>390</v>
      </c>
      <c r="I3506" s="84" t="s">
        <v>397</v>
      </c>
    </row>
    <row r="3507" spans="1:9" ht="12.75">
      <c r="A3507" s="5"/>
      <c r="B3507" s="83" t="s">
        <v>318</v>
      </c>
      <c r="C3507" s="85">
        <f>(6/5)^2*E3507</f>
        <v>43.4736</v>
      </c>
      <c r="D3507" s="84">
        <v>40.22</v>
      </c>
      <c r="E3507" s="84">
        <v>30.19</v>
      </c>
      <c r="F3507" s="86">
        <f>-((D3507-C3507)/D3507)</f>
        <v>0.08089507707608153</v>
      </c>
      <c r="G3507" s="85">
        <f>C3507-D3507</f>
        <v>3.2535999999999987</v>
      </c>
      <c r="H3507" s="84">
        <v>390</v>
      </c>
      <c r="I3507" s="84" t="s">
        <v>397</v>
      </c>
    </row>
    <row r="3508" spans="1:9" ht="12.75">
      <c r="A3508" s="5"/>
      <c r="B3508" s="5"/>
      <c r="C3508" s="5"/>
      <c r="D3508" s="5"/>
      <c r="E3508" s="84" t="s">
        <v>14</v>
      </c>
      <c r="F3508" s="86">
        <f>AVERAGE(F3493:F3507)</f>
        <v>0.07835418629656041</v>
      </c>
      <c r="G3508" s="85">
        <f>AVERAGE(G3493:G3507)</f>
        <v>3.4954933333333305</v>
      </c>
      <c r="H3508" s="5"/>
      <c r="I3508" s="5"/>
    </row>
    <row r="3510" spans="1:9" ht="12.75">
      <c r="A3510" s="90" t="s">
        <v>0</v>
      </c>
      <c r="B3510" s="90" t="s">
        <v>1</v>
      </c>
      <c r="C3510" s="91" t="s">
        <v>398</v>
      </c>
      <c r="D3510" s="91" t="s">
        <v>206</v>
      </c>
      <c r="E3510" s="91" t="s">
        <v>194</v>
      </c>
      <c r="F3510" s="91" t="s">
        <v>5</v>
      </c>
      <c r="G3510" s="91" t="s">
        <v>6</v>
      </c>
      <c r="H3510" s="91" t="s">
        <v>7</v>
      </c>
      <c r="I3510" s="91" t="s">
        <v>8</v>
      </c>
    </row>
    <row r="3511" spans="1:9" ht="12.75">
      <c r="A3511" s="90" t="s">
        <v>396</v>
      </c>
      <c r="B3511" s="90" t="s">
        <v>341</v>
      </c>
      <c r="C3511" s="92">
        <f>(8/6)^1.71*E3511</f>
        <v>60.59453428159857</v>
      </c>
      <c r="D3511" s="91">
        <v>57.02</v>
      </c>
      <c r="E3511" s="91">
        <v>37.05</v>
      </c>
      <c r="F3511" s="93">
        <f>-((D3511-C3511)/D3511)</f>
        <v>0.0626891315608307</v>
      </c>
      <c r="G3511" s="92">
        <f>C3511-D3511</f>
        <v>3.5745342815985666</v>
      </c>
      <c r="H3511" s="91">
        <v>390</v>
      </c>
      <c r="I3511" s="91" t="s">
        <v>397</v>
      </c>
    </row>
    <row r="3512" spans="1:9" ht="12.75">
      <c r="A3512" s="94"/>
      <c r="B3512" s="90" t="s">
        <v>334</v>
      </c>
      <c r="C3512" s="92">
        <f>(8/6)^1.71*E3512</f>
        <v>58.43570067156591</v>
      </c>
      <c r="D3512" s="91">
        <v>54.85</v>
      </c>
      <c r="E3512" s="91">
        <v>35.73</v>
      </c>
      <c r="F3512" s="93">
        <f>-((D3512-C3512)/D3512)</f>
        <v>0.06537284724823901</v>
      </c>
      <c r="G3512" s="92">
        <f>C3512-D3512</f>
        <v>3.5857006715659097</v>
      </c>
      <c r="H3512" s="91">
        <v>390</v>
      </c>
      <c r="I3512" s="91" t="s">
        <v>397</v>
      </c>
    </row>
    <row r="3513" spans="1:9" ht="12.75">
      <c r="A3513" s="94"/>
      <c r="B3513" s="90" t="s">
        <v>316</v>
      </c>
      <c r="C3513" s="92">
        <f>(8/6)^1.71*E3513</f>
        <v>49.031690627863036</v>
      </c>
      <c r="D3513" s="91">
        <v>46.61</v>
      </c>
      <c r="E3513" s="91">
        <v>29.98</v>
      </c>
      <c r="F3513" s="93">
        <f>-((D3513-C3513)/D3513)</f>
        <v>0.05195646058491817</v>
      </c>
      <c r="G3513" s="92">
        <f>C3513-D3513</f>
        <v>2.421690627863036</v>
      </c>
      <c r="H3513" s="91">
        <v>390</v>
      </c>
      <c r="I3513" s="91" t="s">
        <v>397</v>
      </c>
    </row>
    <row r="3514" spans="1:9" ht="12.75">
      <c r="A3514" s="94"/>
      <c r="B3514" s="90" t="s">
        <v>312</v>
      </c>
      <c r="C3514" s="92">
        <f>(8/6)^1.71*E3514</f>
        <v>41.7701593941168</v>
      </c>
      <c r="D3514" s="91">
        <v>39.76</v>
      </c>
      <c r="E3514" s="91">
        <v>25.54</v>
      </c>
      <c r="F3514" s="93">
        <f>-((D3514-C3514)/D3514)</f>
        <v>0.050557328825875374</v>
      </c>
      <c r="G3514" s="92">
        <f>C3514-D3514</f>
        <v>2.0101593941168048</v>
      </c>
      <c r="H3514" s="91">
        <v>390</v>
      </c>
      <c r="I3514" s="91" t="s">
        <v>397</v>
      </c>
    </row>
    <row r="3515" spans="1:9" ht="12.75">
      <c r="A3515" s="94"/>
      <c r="B3515" s="90" t="s">
        <v>317</v>
      </c>
      <c r="C3515" s="92">
        <f>(8/6)^1.71*E3515</f>
        <v>46.414922615702224</v>
      </c>
      <c r="D3515" s="91">
        <v>47.84</v>
      </c>
      <c r="E3515" s="91">
        <v>28.38</v>
      </c>
      <c r="F3515" s="93">
        <f>-((D3515-C3515)/D3515)</f>
        <v>-0.029788406862411774</v>
      </c>
      <c r="G3515" s="92">
        <f>C3515-D3515</f>
        <v>-1.4250773842977793</v>
      </c>
      <c r="H3515" s="91">
        <v>390</v>
      </c>
      <c r="I3515" s="91" t="s">
        <v>397</v>
      </c>
    </row>
    <row r="3516" spans="1:9" ht="12.75">
      <c r="A3516" s="94"/>
      <c r="B3516" s="90" t="s">
        <v>283</v>
      </c>
      <c r="C3516" s="92">
        <f>(8/6)^1.71*E3516</f>
        <v>44.46870140665764</v>
      </c>
      <c r="D3516" s="91">
        <v>46.73</v>
      </c>
      <c r="E3516" s="91">
        <v>27.19</v>
      </c>
      <c r="F3516" s="93">
        <f>-((D3516-C3516)/D3516)</f>
        <v>-0.048390725301569876</v>
      </c>
      <c r="G3516" s="92">
        <f>C3516-D3516</f>
        <v>-2.26129859334236</v>
      </c>
      <c r="H3516" s="91">
        <v>390</v>
      </c>
      <c r="I3516" s="91" t="s">
        <v>397</v>
      </c>
    </row>
    <row r="3517" spans="1:9" ht="12.75">
      <c r="A3517" s="94"/>
      <c r="B3517" s="90" t="s">
        <v>318</v>
      </c>
      <c r="C3517" s="92">
        <f>(8/6)^1.71*E3517</f>
        <v>65.77900590569216</v>
      </c>
      <c r="D3517" s="91">
        <v>63.63</v>
      </c>
      <c r="E3517" s="91">
        <v>40.22</v>
      </c>
      <c r="F3517" s="93">
        <f>-((D3517-C3517)/D3517)</f>
        <v>0.03377347015074896</v>
      </c>
      <c r="G3517" s="92">
        <f>C3517-D3517</f>
        <v>2.1490059056921567</v>
      </c>
      <c r="H3517" s="91">
        <v>390</v>
      </c>
      <c r="I3517" s="91" t="s">
        <v>397</v>
      </c>
    </row>
    <row r="3518" spans="1:9" ht="12.75">
      <c r="A3518" s="94"/>
      <c r="B3518" s="90" t="s">
        <v>319</v>
      </c>
      <c r="C3518" s="92">
        <f>(8/6)^1.71*E3518</f>
        <v>43.87992860392145</v>
      </c>
      <c r="D3518" s="91">
        <v>45.56</v>
      </c>
      <c r="E3518" s="91">
        <v>26.83</v>
      </c>
      <c r="F3518" s="93">
        <f>-((D3518-C3518)/D3518)</f>
        <v>-0.036876018351153485</v>
      </c>
      <c r="G3518" s="92">
        <f>C3518-D3518</f>
        <v>-1.680071396078553</v>
      </c>
      <c r="H3518" s="91">
        <v>390</v>
      </c>
      <c r="I3518" s="91" t="s">
        <v>397</v>
      </c>
    </row>
    <row r="3519" spans="2:9" ht="12.75">
      <c r="B3519" s="90" t="s">
        <v>320</v>
      </c>
      <c r="C3519" s="92">
        <f>(8/6)^1.71*E3519</f>
        <v>44.3542178061256</v>
      </c>
      <c r="D3519" s="91">
        <v>45.83</v>
      </c>
      <c r="E3519" s="91">
        <v>27.12</v>
      </c>
      <c r="F3519" s="93">
        <f>-((D3519-C3519)/D3519)</f>
        <v>-0.03220122613734239</v>
      </c>
      <c r="G3519" s="92">
        <f>C3519-D3519</f>
        <v>-1.4757821938744016</v>
      </c>
      <c r="H3519" s="91">
        <v>390</v>
      </c>
      <c r="I3519" s="91" t="s">
        <v>397</v>
      </c>
    </row>
    <row r="3520" spans="2:9" ht="12.75">
      <c r="B3520" s="90" t="s">
        <v>284</v>
      </c>
      <c r="C3520" s="92">
        <f>(8/6)^1.71*E3520</f>
        <v>42.0972553956369</v>
      </c>
      <c r="D3520" s="91">
        <v>44.99</v>
      </c>
      <c r="E3520" s="91">
        <v>25.74</v>
      </c>
      <c r="F3520" s="93">
        <f>-((D3520-C3520)/D3520)</f>
        <v>-0.0642975017640165</v>
      </c>
      <c r="G3520" s="92">
        <f>C3520-D3520</f>
        <v>-2.892744604363102</v>
      </c>
      <c r="H3520" s="91">
        <v>390</v>
      </c>
      <c r="I3520" s="91" t="s">
        <v>397</v>
      </c>
    </row>
    <row r="3521" spans="2:9" ht="12.75">
      <c r="B3521" s="90" t="s">
        <v>285</v>
      </c>
      <c r="C3521" s="92">
        <f>(8/6)^1.71*E3521</f>
        <v>49.62046343059921</v>
      </c>
      <c r="D3521" s="91">
        <v>50.92</v>
      </c>
      <c r="E3521" s="91">
        <v>30.34</v>
      </c>
      <c r="F3521" s="93">
        <f>-((D3521-C3521)/D3521)</f>
        <v>-0.025521142368436625</v>
      </c>
      <c r="G3521" s="92">
        <f>C3521-D3521</f>
        <v>-1.299536569400793</v>
      </c>
      <c r="H3521" s="91">
        <v>390</v>
      </c>
      <c r="I3521" s="91" t="s">
        <v>397</v>
      </c>
    </row>
    <row r="3522" spans="5:7" ht="12.75">
      <c r="E3522" s="91" t="s">
        <v>14</v>
      </c>
      <c r="F3522" s="93">
        <f>AVERAGE(F3511:F3521)</f>
        <v>0.0024794743259710537</v>
      </c>
      <c r="G3522" s="92">
        <f>AVERAGE(G3511:G3521)</f>
        <v>0.24605273995268043</v>
      </c>
    </row>
    <row r="3524" spans="1:9" ht="12.75">
      <c r="A3524" s="94" t="s">
        <v>0</v>
      </c>
      <c r="B3524" s="94" t="s">
        <v>1</v>
      </c>
      <c r="C3524" s="95" t="s">
        <v>349</v>
      </c>
      <c r="D3524" s="95" t="s">
        <v>206</v>
      </c>
      <c r="E3524" s="95" t="s">
        <v>194</v>
      </c>
      <c r="F3524" s="95" t="s">
        <v>5</v>
      </c>
      <c r="G3524" s="95" t="s">
        <v>6</v>
      </c>
      <c r="H3524" s="95" t="s">
        <v>7</v>
      </c>
      <c r="I3524" s="95" t="s">
        <v>8</v>
      </c>
    </row>
    <row r="3525" spans="1:9" ht="12.75">
      <c r="A3525" s="94" t="s">
        <v>396</v>
      </c>
      <c r="B3525" s="94" t="s">
        <v>341</v>
      </c>
      <c r="C3525" s="96">
        <f>(8/6)^2*E3525</f>
        <v>65.86666666666666</v>
      </c>
      <c r="D3525" s="95">
        <v>57.02</v>
      </c>
      <c r="E3525" s="95">
        <v>37.05</v>
      </c>
      <c r="F3525" s="97">
        <f>-((D3525-C3525)/D3525)</f>
        <v>0.15515023968198274</v>
      </c>
      <c r="G3525" s="96">
        <f>C3525-D3525</f>
        <v>8.846666666666657</v>
      </c>
      <c r="H3525" s="95">
        <v>390</v>
      </c>
      <c r="I3525" s="95" t="s">
        <v>397</v>
      </c>
    </row>
    <row r="3526" spans="1:9" ht="12.75">
      <c r="A3526" s="94"/>
      <c r="B3526" s="94" t="s">
        <v>334</v>
      </c>
      <c r="C3526" s="96">
        <f>(8/6)^2*E3526</f>
        <v>63.51999999999999</v>
      </c>
      <c r="D3526" s="95">
        <v>54.85</v>
      </c>
      <c r="E3526" s="95">
        <v>35.73</v>
      </c>
      <c r="F3526" s="97">
        <f>-((D3526-C3526)/D3526)</f>
        <v>0.15806745670009092</v>
      </c>
      <c r="G3526" s="96">
        <f>C3526-D3526</f>
        <v>8.669999999999987</v>
      </c>
      <c r="H3526" s="95">
        <v>390</v>
      </c>
      <c r="I3526" s="95" t="s">
        <v>397</v>
      </c>
    </row>
    <row r="3527" spans="1:9" ht="12.75">
      <c r="A3527" s="94"/>
      <c r="B3527" s="94" t="s">
        <v>316</v>
      </c>
      <c r="C3527" s="96">
        <f>(8/6)^2*E3527</f>
        <v>53.297777777777775</v>
      </c>
      <c r="D3527" s="95">
        <v>46.61</v>
      </c>
      <c r="E3527" s="95">
        <v>29.98</v>
      </c>
      <c r="F3527" s="97">
        <f>-((D3527-C3527)/D3527)</f>
        <v>0.14348375408233802</v>
      </c>
      <c r="G3527" s="96">
        <f>C3527-D3527</f>
        <v>6.687777777777775</v>
      </c>
      <c r="H3527" s="95">
        <v>390</v>
      </c>
      <c r="I3527" s="95" t="s">
        <v>397</v>
      </c>
    </row>
    <row r="3528" spans="1:9" ht="12.75">
      <c r="A3528" s="94"/>
      <c r="B3528" s="94" t="s">
        <v>312</v>
      </c>
      <c r="C3528" s="96">
        <f>(8/6)^2*E3528</f>
        <v>45.404444444444444</v>
      </c>
      <c r="D3528" s="95">
        <v>39.76</v>
      </c>
      <c r="E3528" s="95">
        <v>25.54</v>
      </c>
      <c r="F3528" s="97">
        <f>-((D3528-C3528)/D3528)</f>
        <v>0.14196288844176172</v>
      </c>
      <c r="G3528" s="96">
        <f>C3528-D3528</f>
        <v>5.644444444444446</v>
      </c>
      <c r="H3528" s="95">
        <v>390</v>
      </c>
      <c r="I3528" s="95" t="s">
        <v>397</v>
      </c>
    </row>
    <row r="3529" spans="1:9" ht="12.75">
      <c r="A3529" s="94"/>
      <c r="B3529" s="94" t="s">
        <v>317</v>
      </c>
      <c r="C3529" s="96">
        <f>(8/6)^2*E3529</f>
        <v>50.453333333333326</v>
      </c>
      <c r="D3529" s="95">
        <v>47.84</v>
      </c>
      <c r="E3529" s="95">
        <v>28.38</v>
      </c>
      <c r="F3529" s="97">
        <f>-((D3529-C3529)/D3529)</f>
        <v>0.05462653288740223</v>
      </c>
      <c r="G3529" s="96">
        <f>C3529-D3529</f>
        <v>2.6133333333333226</v>
      </c>
      <c r="H3529" s="95">
        <v>390</v>
      </c>
      <c r="I3529" s="95" t="s">
        <v>397</v>
      </c>
    </row>
    <row r="3530" spans="1:9" ht="12.75">
      <c r="A3530" s="94"/>
      <c r="B3530" s="94" t="s">
        <v>283</v>
      </c>
      <c r="C3530" s="96">
        <f>(8/6)^2*E3530</f>
        <v>48.33777777777778</v>
      </c>
      <c r="D3530" s="95">
        <v>46.73</v>
      </c>
      <c r="E3530" s="95">
        <v>27.19</v>
      </c>
      <c r="F3530" s="97">
        <f>-((D3530-C3530)/D3530)</f>
        <v>0.034405687519319154</v>
      </c>
      <c r="G3530" s="96">
        <f>C3530-D3530</f>
        <v>1.607777777777784</v>
      </c>
      <c r="H3530" s="95">
        <v>390</v>
      </c>
      <c r="I3530" s="95" t="s">
        <v>397</v>
      </c>
    </row>
    <row r="3531" spans="1:9" ht="12.75">
      <c r="A3531" s="94"/>
      <c r="B3531" s="94" t="s">
        <v>318</v>
      </c>
      <c r="C3531" s="96">
        <f>(8/6)^2*E3531</f>
        <v>71.50222222222222</v>
      </c>
      <c r="D3531" s="95">
        <v>63.63</v>
      </c>
      <c r="E3531" s="95">
        <v>40.22</v>
      </c>
      <c r="F3531" s="97">
        <f>-((D3531-C3531)/D3531)</f>
        <v>0.1237187210784569</v>
      </c>
      <c r="G3531" s="96">
        <f>C3531-D3531</f>
        <v>7.872222222222213</v>
      </c>
      <c r="H3531" s="95">
        <v>390</v>
      </c>
      <c r="I3531" s="95" t="s">
        <v>397</v>
      </c>
    </row>
    <row r="3532" spans="1:9" ht="12.75">
      <c r="A3532" s="94"/>
      <c r="B3532" s="94" t="s">
        <v>319</v>
      </c>
      <c r="C3532" s="96">
        <f>(8/6)^2*E3532</f>
        <v>47.69777777777777</v>
      </c>
      <c r="D3532" s="95">
        <v>45.56</v>
      </c>
      <c r="E3532" s="95">
        <v>26.83</v>
      </c>
      <c r="F3532" s="97">
        <f>-((D3532-C3532)/D3532)</f>
        <v>0.046922251487659584</v>
      </c>
      <c r="G3532" s="96">
        <f>C3532-D3532</f>
        <v>2.137777777777771</v>
      </c>
      <c r="H3532" s="95">
        <v>390</v>
      </c>
      <c r="I3532" s="95" t="s">
        <v>397</v>
      </c>
    </row>
    <row r="3533" spans="1:9" ht="12.75">
      <c r="A3533" s="5"/>
      <c r="B3533" s="94" t="s">
        <v>320</v>
      </c>
      <c r="C3533" s="96">
        <f>(8/6)^2*E3533</f>
        <v>48.21333333333333</v>
      </c>
      <c r="D3533" s="95">
        <v>45.83</v>
      </c>
      <c r="E3533" s="95">
        <v>27.12</v>
      </c>
      <c r="F3533" s="97">
        <f>-((D3533-C3533)/D3533)</f>
        <v>0.052003782093243134</v>
      </c>
      <c r="G3533" s="96">
        <f>C3533-D3533</f>
        <v>2.383333333333333</v>
      </c>
      <c r="H3533" s="95">
        <v>390</v>
      </c>
      <c r="I3533" s="95" t="s">
        <v>397</v>
      </c>
    </row>
    <row r="3534" spans="1:9" ht="12.75">
      <c r="A3534" s="5"/>
      <c r="B3534" s="94" t="s">
        <v>284</v>
      </c>
      <c r="C3534" s="96">
        <f>(8/6)^2*E3534</f>
        <v>45.76</v>
      </c>
      <c r="D3534" s="95">
        <v>44.99</v>
      </c>
      <c r="E3534" s="95">
        <v>25.74</v>
      </c>
      <c r="F3534" s="97">
        <f>-((D3534-C3534)/D3534)</f>
        <v>0.017114914425427785</v>
      </c>
      <c r="G3534" s="96">
        <f>C3534-D3534</f>
        <v>0.769999999999996</v>
      </c>
      <c r="H3534" s="95">
        <v>390</v>
      </c>
      <c r="I3534" s="95" t="s">
        <v>397</v>
      </c>
    </row>
    <row r="3535" spans="1:9" ht="12.75">
      <c r="A3535" s="5"/>
      <c r="B3535" s="94" t="s">
        <v>285</v>
      </c>
      <c r="C3535" s="96">
        <f>(8/6)^2*E3535</f>
        <v>53.937777777777775</v>
      </c>
      <c r="D3535" s="95">
        <v>50.92</v>
      </c>
      <c r="E3535" s="95">
        <v>30.34</v>
      </c>
      <c r="F3535" s="97">
        <f>-((D3535-C3535)/D3535)</f>
        <v>0.059265078118180936</v>
      </c>
      <c r="G3535" s="96">
        <f>C3535-D3535</f>
        <v>3.0177777777777735</v>
      </c>
      <c r="H3535" s="95">
        <v>390</v>
      </c>
      <c r="I3535" s="95" t="s">
        <v>397</v>
      </c>
    </row>
    <row r="3536" spans="1:9" ht="12.75">
      <c r="A3536" s="5"/>
      <c r="B3536" s="5"/>
      <c r="C3536" s="5"/>
      <c r="D3536" s="5"/>
      <c r="E3536" s="95" t="s">
        <v>14</v>
      </c>
      <c r="F3536" s="97">
        <f>AVERAGE(F3525:F3535)</f>
        <v>0.08970193695598755</v>
      </c>
      <c r="G3536" s="96">
        <f>AVERAGE(G3525:G3535)</f>
        <v>4.568282828282824</v>
      </c>
      <c r="H3536" s="5"/>
      <c r="I3536" s="5"/>
    </row>
    <row r="3538" spans="1:9" ht="12.75">
      <c r="A3538" s="90" t="s">
        <v>0</v>
      </c>
      <c r="B3538" s="90" t="s">
        <v>1</v>
      </c>
      <c r="C3538" s="91" t="s">
        <v>399</v>
      </c>
      <c r="D3538" s="91" t="s">
        <v>206</v>
      </c>
      <c r="E3538" s="91" t="s">
        <v>194</v>
      </c>
      <c r="F3538" s="91" t="s">
        <v>5</v>
      </c>
      <c r="G3538" s="91" t="s">
        <v>6</v>
      </c>
      <c r="H3538" s="91" t="s">
        <v>7</v>
      </c>
      <c r="I3538" s="91" t="s">
        <v>8</v>
      </c>
    </row>
    <row r="3539" spans="1:9" ht="12.75">
      <c r="A3539" s="90" t="s">
        <v>400</v>
      </c>
      <c r="B3539" s="90" t="s">
        <v>339</v>
      </c>
      <c r="C3539" s="92">
        <f>(8/6)^1.61*E3539</f>
        <v>46.195151709038115</v>
      </c>
      <c r="D3539" s="91">
        <v>45.68</v>
      </c>
      <c r="E3539" s="91">
        <v>29.07</v>
      </c>
      <c r="F3539" s="93">
        <f>-((D3539-C3539)/D3539)</f>
        <v>0.011277401686473617</v>
      </c>
      <c r="G3539" s="92">
        <f>C3539-D3539</f>
        <v>0.5151517090381148</v>
      </c>
      <c r="H3539" s="91">
        <v>300</v>
      </c>
      <c r="I3539" s="91" t="s">
        <v>397</v>
      </c>
    </row>
    <row r="3540" spans="1:9" ht="12.75">
      <c r="A3540" s="94"/>
      <c r="B3540" s="90" t="s">
        <v>340</v>
      </c>
      <c r="C3540" s="92">
        <f>(8/6)^1.61*E3540</f>
        <v>37.137278824913</v>
      </c>
      <c r="D3540" s="91">
        <v>35.91</v>
      </c>
      <c r="E3540" s="91">
        <v>23.37</v>
      </c>
      <c r="F3540" s="93">
        <f>-((D3540-C3540)/D3540)</f>
        <v>0.034176519769228635</v>
      </c>
      <c r="G3540" s="92">
        <f>C3540-D3540</f>
        <v>1.2272788249130002</v>
      </c>
      <c r="H3540" s="91">
        <v>300</v>
      </c>
      <c r="I3540" s="91" t="s">
        <v>397</v>
      </c>
    </row>
    <row r="3541" spans="1:9" ht="12.75">
      <c r="A3541" s="94"/>
      <c r="B3541" s="90" t="s">
        <v>362</v>
      </c>
      <c r="C3541" s="92">
        <f>(8/6)^1.61*E3541</f>
        <v>56.063465851216534</v>
      </c>
      <c r="D3541" s="91">
        <v>56.51</v>
      </c>
      <c r="E3541" s="91">
        <v>35.28</v>
      </c>
      <c r="F3541" s="93">
        <f>-((D3541-C3541)/D3541)</f>
        <v>-0.007901860711085888</v>
      </c>
      <c r="G3541" s="92">
        <f>C3541-D3541</f>
        <v>-0.44653414878346354</v>
      </c>
      <c r="H3541" s="91">
        <v>300</v>
      </c>
      <c r="I3541" s="91" t="s">
        <v>397</v>
      </c>
    </row>
    <row r="3542" spans="1:9" ht="12.75">
      <c r="A3542" s="94"/>
      <c r="B3542" s="90" t="s">
        <v>364</v>
      </c>
      <c r="C3542" s="92">
        <f>(8/6)^1.61*E3542</f>
        <v>48.658257493317755</v>
      </c>
      <c r="D3542" s="91">
        <v>48.04</v>
      </c>
      <c r="E3542" s="91">
        <v>30.62</v>
      </c>
      <c r="F3542" s="93">
        <f>-((D3542-C3542)/D3542)</f>
        <v>0.012869639744332978</v>
      </c>
      <c r="G3542" s="92">
        <f>C3542-D3542</f>
        <v>0.6182574933177563</v>
      </c>
      <c r="H3542" s="91">
        <v>300</v>
      </c>
      <c r="I3542" s="91" t="s">
        <v>397</v>
      </c>
    </row>
    <row r="3543" spans="1:9" ht="12.75">
      <c r="A3543" s="94"/>
      <c r="B3543" s="90" t="s">
        <v>342</v>
      </c>
      <c r="C3543" s="92">
        <f>(8/6)^1.61*E3543</f>
        <v>41.28483114553871</v>
      </c>
      <c r="D3543" s="91">
        <v>40.74</v>
      </c>
      <c r="E3543" s="91">
        <v>25.98</v>
      </c>
      <c r="F3543" s="93">
        <f>-((D3543-C3543)/D3543)</f>
        <v>0.013373371269973207</v>
      </c>
      <c r="G3543" s="92">
        <f>C3543-D3543</f>
        <v>0.5448311455387085</v>
      </c>
      <c r="H3543" s="91">
        <v>300</v>
      </c>
      <c r="I3543" s="91" t="s">
        <v>397</v>
      </c>
    </row>
    <row r="3544" spans="1:9" ht="12.75">
      <c r="A3544" s="94"/>
      <c r="B3544" s="90" t="s">
        <v>365</v>
      </c>
      <c r="C3544" s="92">
        <f>(8/6)^1.61*E3544</f>
        <v>53.775161122595456</v>
      </c>
      <c r="D3544" s="91">
        <v>53.5</v>
      </c>
      <c r="E3544" s="91">
        <v>33.84</v>
      </c>
      <c r="F3544" s="93">
        <f>-((D3544-C3544)/D3544)</f>
        <v>0.0051431985531860975</v>
      </c>
      <c r="G3544" s="92">
        <f>C3544-D3544</f>
        <v>0.2751611225954562</v>
      </c>
      <c r="H3544" s="91">
        <v>300</v>
      </c>
      <c r="I3544" s="91" t="s">
        <v>397</v>
      </c>
    </row>
    <row r="3545" spans="1:9" ht="12.75">
      <c r="A3545" s="94"/>
      <c r="B3545" s="90" t="s">
        <v>343</v>
      </c>
      <c r="C3545" s="92">
        <f>(8/6)^1.61*E3545</f>
        <v>47.863707240324324</v>
      </c>
      <c r="D3545" s="91">
        <v>47.94</v>
      </c>
      <c r="E3545" s="91">
        <v>30.12</v>
      </c>
      <c r="F3545" s="93">
        <f>-((D3545-C3545)/D3545)</f>
        <v>-0.0015914217704562778</v>
      </c>
      <c r="G3545" s="92">
        <f>C3545-D3545</f>
        <v>-0.07629275967567395</v>
      </c>
      <c r="H3545" s="91">
        <v>300</v>
      </c>
      <c r="I3545" s="91" t="s">
        <v>397</v>
      </c>
    </row>
    <row r="3546" spans="1:9" ht="12.75">
      <c r="A3546" s="94"/>
      <c r="B3546" s="90" t="s">
        <v>344</v>
      </c>
      <c r="C3546" s="92">
        <f>(8/6)^1.61*E3546</f>
        <v>39.63216661931237</v>
      </c>
      <c r="D3546" s="91">
        <v>40.91</v>
      </c>
      <c r="E3546" s="91">
        <v>24.94</v>
      </c>
      <c r="F3546" s="93">
        <f>-((D3546-C3546)/D3546)</f>
        <v>-0.031235232967187113</v>
      </c>
      <c r="G3546" s="92">
        <f>C3546-D3546</f>
        <v>-1.2778333806876248</v>
      </c>
      <c r="H3546" s="91">
        <v>300</v>
      </c>
      <c r="I3546" s="91" t="s">
        <v>397</v>
      </c>
    </row>
    <row r="3547" spans="2:9" ht="12.75">
      <c r="B3547" s="90" t="s">
        <v>366</v>
      </c>
      <c r="C3547" s="92">
        <f>(8/6)^1.61*E3547</f>
        <v>50.07255694364606</v>
      </c>
      <c r="D3547" s="91">
        <v>48.86</v>
      </c>
      <c r="E3547" s="91">
        <v>31.51</v>
      </c>
      <c r="F3547" s="93">
        <f>-((D3547-C3547)/D3547)</f>
        <v>0.024816965690668515</v>
      </c>
      <c r="G3547" s="92">
        <f>C3547-D3547</f>
        <v>1.2125569436460637</v>
      </c>
      <c r="H3547" s="91">
        <v>300</v>
      </c>
      <c r="I3547" s="91" t="s">
        <v>397</v>
      </c>
    </row>
    <row r="3548" spans="2:9" ht="12.75">
      <c r="B3548" s="90" t="s">
        <v>345</v>
      </c>
      <c r="C3548" s="92">
        <f>(8/6)^1.61*E3548</f>
        <v>39.90231370533014</v>
      </c>
      <c r="D3548" s="91">
        <v>42.41</v>
      </c>
      <c r="E3548" s="91">
        <v>25.11</v>
      </c>
      <c r="F3548" s="93">
        <f>-((D3548-C3548)/D3548)</f>
        <v>-0.05912959902546239</v>
      </c>
      <c r="G3548" s="92">
        <f>C3548-D3548</f>
        <v>-2.5076862946698597</v>
      </c>
      <c r="H3548" s="91">
        <v>300</v>
      </c>
      <c r="I3548" s="91" t="s">
        <v>397</v>
      </c>
    </row>
    <row r="3549" spans="2:9" ht="12.75">
      <c r="B3549" s="90"/>
      <c r="C3549" s="92"/>
      <c r="D3549" s="91"/>
      <c r="E3549" s="91" t="s">
        <v>14</v>
      </c>
      <c r="F3549" s="93">
        <f>AVERAGE(F3539:F3548)</f>
        <v>0.0001798982239671381</v>
      </c>
      <c r="G3549" s="92">
        <f>AVERAGE(G3539:G3548)</f>
        <v>0.008489065523247774</v>
      </c>
      <c r="H3549" s="91"/>
      <c r="I3549" s="91"/>
    </row>
    <row r="3550" spans="5:7" ht="12.75">
      <c r="E3550" s="91"/>
      <c r="F3550" s="93"/>
      <c r="G3550" s="92"/>
    </row>
    <row r="3551" spans="1:9" ht="12.75">
      <c r="A3551" s="94" t="s">
        <v>0</v>
      </c>
      <c r="B3551" s="94" t="s">
        <v>1</v>
      </c>
      <c r="C3551" s="95" t="s">
        <v>349</v>
      </c>
      <c r="D3551" s="95" t="s">
        <v>206</v>
      </c>
      <c r="E3551" s="95" t="s">
        <v>194</v>
      </c>
      <c r="F3551" s="95" t="s">
        <v>5</v>
      </c>
      <c r="G3551" s="95" t="s">
        <v>6</v>
      </c>
      <c r="H3551" s="95" t="s">
        <v>7</v>
      </c>
      <c r="I3551" s="95" t="s">
        <v>8</v>
      </c>
    </row>
    <row r="3552" spans="1:9" ht="12.75">
      <c r="A3552" s="94" t="s">
        <v>400</v>
      </c>
      <c r="B3552" s="94" t="s">
        <v>339</v>
      </c>
      <c r="C3552" s="96">
        <f>(8/6)^2*E3552</f>
        <v>51.68</v>
      </c>
      <c r="D3552" s="95">
        <v>45.68</v>
      </c>
      <c r="E3552" s="95">
        <v>29.07</v>
      </c>
      <c r="F3552" s="97">
        <f>-((D3552-C3552)/D3552)</f>
        <v>0.13134851138353765</v>
      </c>
      <c r="G3552" s="96">
        <f>C3552-D3552</f>
        <v>6</v>
      </c>
      <c r="H3552" s="95">
        <v>300</v>
      </c>
      <c r="I3552" s="95" t="s">
        <v>397</v>
      </c>
    </row>
    <row r="3553" spans="1:9" ht="12.75">
      <c r="A3553" s="94"/>
      <c r="B3553" s="94" t="s">
        <v>340</v>
      </c>
      <c r="C3553" s="96">
        <f>(8/6)^2*E3553</f>
        <v>41.54666666666667</v>
      </c>
      <c r="D3553" s="95">
        <v>35.91</v>
      </c>
      <c r="E3553" s="95">
        <v>23.37</v>
      </c>
      <c r="F3553" s="97">
        <f>-((D3553-C3553)/D3553)</f>
        <v>0.15696649029982374</v>
      </c>
      <c r="G3553" s="96">
        <f>C3553-D3553</f>
        <v>5.63666666666667</v>
      </c>
      <c r="H3553" s="95">
        <v>300</v>
      </c>
      <c r="I3553" s="95" t="s">
        <v>397</v>
      </c>
    </row>
    <row r="3554" spans="1:9" ht="12.75">
      <c r="A3554" s="94"/>
      <c r="B3554" s="94" t="s">
        <v>362</v>
      </c>
      <c r="C3554" s="96">
        <f>(8/6)^2*E3554</f>
        <v>62.72</v>
      </c>
      <c r="D3554" s="95">
        <v>56.51</v>
      </c>
      <c r="E3554" s="95">
        <v>35.28</v>
      </c>
      <c r="F3554" s="97">
        <f>-((D3554-C3554)/D3554)</f>
        <v>0.1098920545036277</v>
      </c>
      <c r="G3554" s="96">
        <f>C3554-D3554</f>
        <v>6.210000000000001</v>
      </c>
      <c r="H3554" s="95">
        <v>300</v>
      </c>
      <c r="I3554" s="95" t="s">
        <v>397</v>
      </c>
    </row>
    <row r="3555" spans="1:9" ht="12.75">
      <c r="A3555" s="94"/>
      <c r="B3555" s="94" t="s">
        <v>364</v>
      </c>
      <c r="C3555" s="96">
        <f>(8/6)^2*E3555</f>
        <v>54.43555555555555</v>
      </c>
      <c r="D3555" s="95">
        <v>48.04</v>
      </c>
      <c r="E3555" s="95">
        <v>30.62</v>
      </c>
      <c r="F3555" s="97">
        <f>-((D3555-C3555)/D3555)</f>
        <v>0.1331297992413729</v>
      </c>
      <c r="G3555" s="96">
        <f>C3555-D3555</f>
        <v>6.395555555555553</v>
      </c>
      <c r="H3555" s="95">
        <v>300</v>
      </c>
      <c r="I3555" s="95" t="s">
        <v>397</v>
      </c>
    </row>
    <row r="3556" spans="1:9" ht="12.75">
      <c r="A3556" s="94"/>
      <c r="B3556" s="94" t="s">
        <v>342</v>
      </c>
      <c r="C3556" s="96">
        <f>(8/6)^2*E3556</f>
        <v>46.18666666666667</v>
      </c>
      <c r="D3556" s="95">
        <v>40.74</v>
      </c>
      <c r="E3556" s="95">
        <v>25.98</v>
      </c>
      <c r="F3556" s="97">
        <f>-((D3556-C3556)/D3556)</f>
        <v>0.13369333987890686</v>
      </c>
      <c r="G3556" s="96">
        <f>C3556-D3556</f>
        <v>5.446666666666665</v>
      </c>
      <c r="H3556" s="95">
        <v>300</v>
      </c>
      <c r="I3556" s="95" t="s">
        <v>397</v>
      </c>
    </row>
    <row r="3557" spans="1:9" ht="12.75">
      <c r="A3557" s="94"/>
      <c r="B3557" s="94" t="s">
        <v>365</v>
      </c>
      <c r="C3557" s="96">
        <f>(8/6)^2*E3557</f>
        <v>60.160000000000004</v>
      </c>
      <c r="D3557" s="95">
        <v>53.5</v>
      </c>
      <c r="E3557" s="95">
        <v>33.84</v>
      </c>
      <c r="F3557" s="97">
        <f>-((D3557-C3557)/D3557)</f>
        <v>0.12448598130841128</v>
      </c>
      <c r="G3557" s="96">
        <f>C3557-D3557</f>
        <v>6.660000000000004</v>
      </c>
      <c r="H3557" s="95">
        <v>300</v>
      </c>
      <c r="I3557" s="95" t="s">
        <v>397</v>
      </c>
    </row>
    <row r="3558" spans="1:9" ht="12.75">
      <c r="A3558" s="94"/>
      <c r="B3558" s="94" t="s">
        <v>343</v>
      </c>
      <c r="C3558" s="96">
        <f>(8/6)^2*E3558</f>
        <v>53.54666666666667</v>
      </c>
      <c r="D3558" s="95">
        <v>47.94</v>
      </c>
      <c r="E3558" s="95">
        <v>30.12</v>
      </c>
      <c r="F3558" s="97">
        <f>-((D3558-C3558)/D3558)</f>
        <v>0.11695174523710199</v>
      </c>
      <c r="G3558" s="96">
        <f>C3558-D3558</f>
        <v>5.606666666666669</v>
      </c>
      <c r="H3558" s="95">
        <v>300</v>
      </c>
      <c r="I3558" s="95" t="s">
        <v>397</v>
      </c>
    </row>
    <row r="3559" spans="1:9" ht="12.75">
      <c r="A3559" s="94"/>
      <c r="B3559" s="94" t="s">
        <v>344</v>
      </c>
      <c r="C3559" s="96">
        <f>(8/6)^2*E3559</f>
        <v>44.33777777777778</v>
      </c>
      <c r="D3559" s="95">
        <v>40.91</v>
      </c>
      <c r="E3559" s="95">
        <v>24.94</v>
      </c>
      <c r="F3559" s="97">
        <f>-((D3559-C3559)/D3559)</f>
        <v>0.08378826149542372</v>
      </c>
      <c r="G3559" s="96">
        <f>C3559-D3559</f>
        <v>3.4277777777777843</v>
      </c>
      <c r="H3559" s="95">
        <v>300</v>
      </c>
      <c r="I3559" s="95" t="s">
        <v>397</v>
      </c>
    </row>
    <row r="3560" spans="1:9" ht="12.75">
      <c r="A3560" s="5"/>
      <c r="B3560" s="94" t="s">
        <v>366</v>
      </c>
      <c r="C3560" s="96">
        <f>(8/6)^2*E3560</f>
        <v>56.01777777777778</v>
      </c>
      <c r="D3560" s="95">
        <v>48.86</v>
      </c>
      <c r="E3560" s="95">
        <v>31.51</v>
      </c>
      <c r="F3560" s="97">
        <f>-((D3560-C3560)/D3560)</f>
        <v>0.1464956565243099</v>
      </c>
      <c r="G3560" s="96">
        <f>C3560-D3560</f>
        <v>7.157777777777781</v>
      </c>
      <c r="H3560" s="95">
        <v>300</v>
      </c>
      <c r="I3560" s="95" t="s">
        <v>397</v>
      </c>
    </row>
    <row r="3561" spans="1:9" ht="12.75">
      <c r="A3561" s="5"/>
      <c r="B3561" s="94" t="s">
        <v>345</v>
      </c>
      <c r="C3561" s="96">
        <f>(8/6)^2*E3561</f>
        <v>44.63999999999999</v>
      </c>
      <c r="D3561" s="95">
        <v>42.41</v>
      </c>
      <c r="E3561" s="95">
        <v>25.11</v>
      </c>
      <c r="F3561" s="97">
        <f>-((D3561-C3561)/D3561)</f>
        <v>0.052581938222117354</v>
      </c>
      <c r="G3561" s="96">
        <f>C3561-D3561</f>
        <v>2.229999999999997</v>
      </c>
      <c r="H3561" s="95">
        <v>300</v>
      </c>
      <c r="I3561" s="95" t="s">
        <v>397</v>
      </c>
    </row>
    <row r="3562" spans="1:9" ht="12.75">
      <c r="A3562" s="5"/>
      <c r="B3562" s="94"/>
      <c r="C3562" s="96"/>
      <c r="D3562" s="95"/>
      <c r="E3562" s="95" t="s">
        <v>14</v>
      </c>
      <c r="F3562" s="97">
        <f>AVERAGE(F3552:F3561)</f>
        <v>0.11893337780946331</v>
      </c>
      <c r="G3562" s="96">
        <f>AVERAGE(G3552:G3561)</f>
        <v>5.477111111111112</v>
      </c>
      <c r="H3562" s="95"/>
      <c r="I3562" s="95"/>
    </row>
    <row r="3564" spans="1:9" ht="12.75">
      <c r="A3564" s="104" t="s">
        <v>0</v>
      </c>
      <c r="B3564" s="104" t="s">
        <v>1</v>
      </c>
      <c r="C3564" s="105" t="s">
        <v>401</v>
      </c>
      <c r="D3564" s="105" t="s">
        <v>402</v>
      </c>
      <c r="E3564" s="105" t="s">
        <v>206</v>
      </c>
      <c r="F3564" s="105" t="s">
        <v>5</v>
      </c>
      <c r="G3564" s="105" t="s">
        <v>6</v>
      </c>
      <c r="H3564" s="105" t="s">
        <v>7</v>
      </c>
      <c r="I3564" s="105" t="s">
        <v>8</v>
      </c>
    </row>
    <row r="3565" spans="1:9" ht="12.75">
      <c r="A3565" s="104" t="s">
        <v>400</v>
      </c>
      <c r="B3565" s="104" t="s">
        <v>340</v>
      </c>
      <c r="C3565" s="106">
        <f>(10/8)^1.75*E3565</f>
        <v>53.06497059266256</v>
      </c>
      <c r="D3565" s="105">
        <v>50.75</v>
      </c>
      <c r="E3565" s="105">
        <v>35.91</v>
      </c>
      <c r="F3565" s="107">
        <f>-((D3565-C3565)/D3565)</f>
        <v>0.04561518409187313</v>
      </c>
      <c r="G3565" s="106">
        <f>C3565-D3565</f>
        <v>2.3149705926625614</v>
      </c>
      <c r="H3565" s="105">
        <v>300</v>
      </c>
      <c r="I3565" s="105" t="s">
        <v>397</v>
      </c>
    </row>
    <row r="3566" spans="1:9" ht="12.75">
      <c r="A3566" s="108"/>
      <c r="B3566" s="104" t="s">
        <v>341</v>
      </c>
      <c r="C3566" s="106">
        <f>(10/8)^1.75*E3566</f>
        <v>44.81928593916613</v>
      </c>
      <c r="D3566" s="105">
        <v>44.2</v>
      </c>
      <c r="E3566" s="105">
        <v>30.33</v>
      </c>
      <c r="F3566" s="107">
        <f>-((D3566-C3566)/D3566)</f>
        <v>0.014010994098781126</v>
      </c>
      <c r="G3566" s="106">
        <f>C3566-D3566</f>
        <v>0.6192859391661258</v>
      </c>
      <c r="H3566" s="105">
        <v>300</v>
      </c>
      <c r="I3566" s="105" t="s">
        <v>397</v>
      </c>
    </row>
    <row r="3567" spans="1:9" ht="12.75">
      <c r="A3567" s="108"/>
      <c r="B3567" s="104" t="s">
        <v>334</v>
      </c>
      <c r="C3567" s="106">
        <f>(10/8)^1.75*E3567</f>
        <v>43.16423812341057</v>
      </c>
      <c r="D3567" s="105">
        <v>42.48</v>
      </c>
      <c r="E3567" s="105">
        <v>29.21</v>
      </c>
      <c r="F3567" s="107">
        <f>-((D3567-C3567)/D3567)</f>
        <v>0.016107300456934395</v>
      </c>
      <c r="G3567" s="106">
        <f>C3567-D3567</f>
        <v>0.684238123410573</v>
      </c>
      <c r="H3567" s="105">
        <v>300</v>
      </c>
      <c r="I3567" s="105" t="s">
        <v>397</v>
      </c>
    </row>
    <row r="3568" spans="1:9" ht="12.75">
      <c r="A3568" s="108"/>
      <c r="B3568" s="104" t="s">
        <v>316</v>
      </c>
      <c r="C3568" s="106">
        <f>(10/8)^1.75*E3568</f>
        <v>37.10558094073397</v>
      </c>
      <c r="D3568" s="105">
        <v>35.59</v>
      </c>
      <c r="E3568" s="105">
        <v>25.11</v>
      </c>
      <c r="F3568" s="107">
        <f>-((D3568-C3568)/D3568)</f>
        <v>0.042584460262263805</v>
      </c>
      <c r="G3568" s="106">
        <f>C3568-D3568</f>
        <v>1.5155809407339689</v>
      </c>
      <c r="H3568" s="105">
        <v>300</v>
      </c>
      <c r="I3568" s="105" t="s">
        <v>397</v>
      </c>
    </row>
    <row r="3569" spans="1:9" ht="12.75">
      <c r="A3569" s="108"/>
      <c r="B3569" s="104" t="s">
        <v>312</v>
      </c>
      <c r="C3569" s="106">
        <f>(10/8)^1.75*E3569</f>
        <v>31.357245223511544</v>
      </c>
      <c r="D3569" s="105">
        <v>30.37</v>
      </c>
      <c r="E3569" s="105">
        <v>21.22</v>
      </c>
      <c r="F3569" s="107">
        <f>-((D3569-C3569)/D3569)</f>
        <v>0.032507251350396546</v>
      </c>
      <c r="G3569" s="106">
        <f>C3569-D3569</f>
        <v>0.9872452235115432</v>
      </c>
      <c r="H3569" s="105">
        <v>300</v>
      </c>
      <c r="I3569" s="105" t="s">
        <v>397</v>
      </c>
    </row>
    <row r="3570" spans="1:9" ht="12.75">
      <c r="A3570" s="108"/>
      <c r="B3570" s="104" t="s">
        <v>335</v>
      </c>
      <c r="C3570" s="106">
        <f>(10/8)^1.75*E3570</f>
        <v>51.40992277690701</v>
      </c>
      <c r="D3570" s="105">
        <v>53.62</v>
      </c>
      <c r="E3570" s="105">
        <v>34.79</v>
      </c>
      <c r="F3570" s="107">
        <f>-((D3570-C3570)/D3570)</f>
        <v>-0.041217404384427225</v>
      </c>
      <c r="G3570" s="106">
        <f>C3570-D3570</f>
        <v>-2.2100772230929877</v>
      </c>
      <c r="H3570" s="105">
        <v>300</v>
      </c>
      <c r="I3570" s="105" t="s">
        <v>397</v>
      </c>
    </row>
    <row r="3571" spans="1:9" ht="12.75">
      <c r="A3571" s="108"/>
      <c r="B3571" s="104" t="s">
        <v>317</v>
      </c>
      <c r="C3571" s="106">
        <f>(10/8)^1.75*E3571</f>
        <v>34.91855346991413</v>
      </c>
      <c r="D3571" s="105">
        <v>36.37</v>
      </c>
      <c r="E3571" s="105">
        <v>23.63</v>
      </c>
      <c r="F3571" s="107">
        <f>-((D3571-C3571)/D3571)</f>
        <v>-0.039907795713111566</v>
      </c>
      <c r="G3571" s="106">
        <f>C3571-D3571</f>
        <v>-1.4514465300858674</v>
      </c>
      <c r="H3571" s="105">
        <v>300</v>
      </c>
      <c r="I3571" s="105" t="s">
        <v>397</v>
      </c>
    </row>
    <row r="3572" spans="1:9" ht="12.75">
      <c r="A3572" s="108"/>
      <c r="B3572" s="104" t="s">
        <v>318</v>
      </c>
      <c r="C3572" s="106">
        <f>(10/8)^1.75*E3572</f>
        <v>48.01116386955185</v>
      </c>
      <c r="D3572" s="105">
        <v>49.73</v>
      </c>
      <c r="E3572" s="105">
        <v>32.49</v>
      </c>
      <c r="F3572" s="107">
        <f>-((D3572-C3572)/D3572)</f>
        <v>-0.03456336477876827</v>
      </c>
      <c r="G3572" s="106">
        <f>C3572-D3572</f>
        <v>-1.718836130448146</v>
      </c>
      <c r="H3572" s="105">
        <v>300</v>
      </c>
      <c r="I3572" s="105" t="s">
        <v>397</v>
      </c>
    </row>
    <row r="3573" spans="1:9" ht="12.75">
      <c r="A3573" s="108"/>
      <c r="B3573" s="104" t="s">
        <v>319</v>
      </c>
      <c r="C3573" s="106">
        <f>(10/8)^1.75*E3573</f>
        <v>33.45560941848734</v>
      </c>
      <c r="D3573" s="105">
        <v>34.63</v>
      </c>
      <c r="E3573" s="105">
        <v>22.64</v>
      </c>
      <c r="F3573" s="107">
        <f>-((D3573-C3573)/D3573)</f>
        <v>-0.03391252040175169</v>
      </c>
      <c r="G3573" s="106">
        <f>C3573-D3573</f>
        <v>-1.174390581512661</v>
      </c>
      <c r="H3573" s="105">
        <v>300</v>
      </c>
      <c r="I3573" s="105" t="s">
        <v>397</v>
      </c>
    </row>
    <row r="3574" spans="1:9" ht="12.75">
      <c r="A3574" s="108"/>
      <c r="B3574" s="104"/>
      <c r="C3574" s="106"/>
      <c r="D3574" s="105"/>
      <c r="E3574" s="105" t="s">
        <v>14</v>
      </c>
      <c r="F3574" s="107">
        <f>AVERAGE(F3565:F3573)</f>
        <v>0.00013601166468780627</v>
      </c>
      <c r="G3574" s="106">
        <f>AVERAGE(G3565:G3573)</f>
        <v>-0.04815884951720998</v>
      </c>
      <c r="H3574" s="105"/>
      <c r="I3574" s="105"/>
    </row>
    <row r="3575" spans="1:9" ht="12.75">
      <c r="A3575" s="108"/>
      <c r="B3575" s="104"/>
      <c r="C3575" s="106"/>
      <c r="D3575" s="105"/>
      <c r="E3575" s="105"/>
      <c r="F3575" s="107"/>
      <c r="G3575" s="106"/>
      <c r="H3575" s="105"/>
      <c r="I3575" s="105"/>
    </row>
    <row r="3576" spans="1:9" ht="12.75">
      <c r="A3576" s="108" t="s">
        <v>0</v>
      </c>
      <c r="B3576" s="108" t="s">
        <v>1</v>
      </c>
      <c r="C3576" s="109" t="s">
        <v>267</v>
      </c>
      <c r="D3576" s="109" t="s">
        <v>402</v>
      </c>
      <c r="E3576" s="109" t="s">
        <v>206</v>
      </c>
      <c r="F3576" s="109" t="s">
        <v>5</v>
      </c>
      <c r="G3576" s="109" t="s">
        <v>6</v>
      </c>
      <c r="H3576" s="109" t="s">
        <v>7</v>
      </c>
      <c r="I3576" s="109" t="s">
        <v>8</v>
      </c>
    </row>
    <row r="3577" spans="1:9" ht="12.75">
      <c r="A3577" s="108" t="s">
        <v>400</v>
      </c>
      <c r="B3577" s="108" t="s">
        <v>340</v>
      </c>
      <c r="C3577" s="110">
        <f>(10/8)^2*E3577</f>
        <v>56.10937499999999</v>
      </c>
      <c r="D3577" s="109">
        <v>50.75</v>
      </c>
      <c r="E3577" s="109">
        <v>35.91</v>
      </c>
      <c r="F3577" s="111">
        <f>-((D3577-C3577)/D3577)</f>
        <v>0.10560344827586193</v>
      </c>
      <c r="G3577" s="110">
        <f>C3577-D3577</f>
        <v>5.359374999999993</v>
      </c>
      <c r="H3577" s="109">
        <v>300</v>
      </c>
      <c r="I3577" s="109" t="s">
        <v>397</v>
      </c>
    </row>
    <row r="3578" spans="1:9" ht="12.75">
      <c r="A3578" s="108"/>
      <c r="B3578" s="108" t="s">
        <v>341</v>
      </c>
      <c r="C3578" s="110">
        <f>(10/8)^2*E3578</f>
        <v>47.390625</v>
      </c>
      <c r="D3578" s="109">
        <v>44.2</v>
      </c>
      <c r="E3578" s="109">
        <v>30.33</v>
      </c>
      <c r="F3578" s="111">
        <f>-((D3578-C3578)/D3578)</f>
        <v>0.07218608597285062</v>
      </c>
      <c r="G3578" s="110">
        <f>C3578-D3578</f>
        <v>3.190624999999997</v>
      </c>
      <c r="H3578" s="109">
        <v>300</v>
      </c>
      <c r="I3578" s="109" t="s">
        <v>397</v>
      </c>
    </row>
    <row r="3579" spans="1:9" ht="12.75">
      <c r="A3579" s="108"/>
      <c r="B3579" s="108" t="s">
        <v>334</v>
      </c>
      <c r="C3579" s="110">
        <f>(10/8)^2*E3579</f>
        <v>45.640625</v>
      </c>
      <c r="D3579" s="109">
        <v>42.48</v>
      </c>
      <c r="E3579" s="109">
        <v>29.21</v>
      </c>
      <c r="F3579" s="111">
        <f>-((D3579-C3579)/D3579)</f>
        <v>0.07440266007532964</v>
      </c>
      <c r="G3579" s="110">
        <f>C3579-D3579</f>
        <v>3.160625000000003</v>
      </c>
      <c r="H3579" s="109">
        <v>300</v>
      </c>
      <c r="I3579" s="109" t="s">
        <v>397</v>
      </c>
    </row>
    <row r="3580" spans="1:9" ht="12.75">
      <c r="A3580" s="108"/>
      <c r="B3580" s="108" t="s">
        <v>316</v>
      </c>
      <c r="C3580" s="110">
        <f>(10/8)^2*E3580</f>
        <v>39.234375</v>
      </c>
      <c r="D3580" s="109">
        <v>35.59</v>
      </c>
      <c r="E3580" s="109">
        <v>25.11</v>
      </c>
      <c r="F3580" s="111">
        <f>-((D3580-C3580)/D3580)</f>
        <v>0.10239884799100861</v>
      </c>
      <c r="G3580" s="110">
        <f>C3580-D3580</f>
        <v>3.6443749999999966</v>
      </c>
      <c r="H3580" s="109">
        <v>300</v>
      </c>
      <c r="I3580" s="109" t="s">
        <v>397</v>
      </c>
    </row>
    <row r="3581" spans="1:9" ht="12.75">
      <c r="A3581" s="108"/>
      <c r="B3581" s="108" t="s">
        <v>312</v>
      </c>
      <c r="C3581" s="110">
        <f>(10/8)^2*E3581</f>
        <v>33.15625</v>
      </c>
      <c r="D3581" s="109">
        <v>30.37</v>
      </c>
      <c r="E3581" s="109">
        <v>21.22</v>
      </c>
      <c r="F3581" s="111">
        <f>-((D3581-C3581)/D3581)</f>
        <v>0.09174349687191304</v>
      </c>
      <c r="G3581" s="110">
        <f>C3581-D3581</f>
        <v>2.786249999999999</v>
      </c>
      <c r="H3581" s="109">
        <v>300</v>
      </c>
      <c r="I3581" s="109" t="s">
        <v>397</v>
      </c>
    </row>
    <row r="3582" spans="1:9" ht="12.75">
      <c r="A3582" s="108"/>
      <c r="B3582" s="108" t="s">
        <v>335</v>
      </c>
      <c r="C3582" s="110">
        <f>(10/8)^2*E3582</f>
        <v>54.359375</v>
      </c>
      <c r="D3582" s="109">
        <v>53.62</v>
      </c>
      <c r="E3582" s="109">
        <v>34.79</v>
      </c>
      <c r="F3582" s="111">
        <f>-((D3582-C3582)/D3582)</f>
        <v>0.013789164490861667</v>
      </c>
      <c r="G3582" s="110">
        <f>C3582-D3582</f>
        <v>0.7393750000000026</v>
      </c>
      <c r="H3582" s="109">
        <v>300</v>
      </c>
      <c r="I3582" s="109" t="s">
        <v>397</v>
      </c>
    </row>
    <row r="3583" spans="1:9" ht="12.75">
      <c r="A3583" s="108"/>
      <c r="B3583" s="108" t="s">
        <v>317</v>
      </c>
      <c r="C3583" s="110">
        <f>(10/8)^2*E3583</f>
        <v>36.921875</v>
      </c>
      <c r="D3583" s="109">
        <v>36.37</v>
      </c>
      <c r="E3583" s="109">
        <v>23.63</v>
      </c>
      <c r="F3583" s="111">
        <f>-((D3583-C3583)/D3583)</f>
        <v>0.015173907066263476</v>
      </c>
      <c r="G3583" s="110">
        <f>C3583-D3583</f>
        <v>0.5518750000000026</v>
      </c>
      <c r="H3583" s="109">
        <v>300</v>
      </c>
      <c r="I3583" s="109" t="s">
        <v>397</v>
      </c>
    </row>
    <row r="3584" spans="1:9" ht="12.75">
      <c r="A3584" s="108"/>
      <c r="B3584" s="108" t="s">
        <v>318</v>
      </c>
      <c r="C3584" s="110">
        <f>(10/8)^2*E3584</f>
        <v>50.765625</v>
      </c>
      <c r="D3584" s="109">
        <v>49.73</v>
      </c>
      <c r="E3584" s="109">
        <v>32.49</v>
      </c>
      <c r="F3584" s="111">
        <f>-((D3584-C3584)/D3584)</f>
        <v>0.02082495475568074</v>
      </c>
      <c r="G3584" s="110">
        <f>C3584-D3584</f>
        <v>1.0356250000000031</v>
      </c>
      <c r="H3584" s="109">
        <v>300</v>
      </c>
      <c r="I3584" s="109" t="s">
        <v>397</v>
      </c>
    </row>
    <row r="3585" spans="1:9" ht="12.75">
      <c r="A3585" s="108"/>
      <c r="B3585" s="108" t="s">
        <v>319</v>
      </c>
      <c r="C3585" s="110">
        <f>(10/8)^2*E3585</f>
        <v>35.375</v>
      </c>
      <c r="D3585" s="109">
        <v>34.63</v>
      </c>
      <c r="E3585" s="109">
        <v>22.64</v>
      </c>
      <c r="F3585" s="111">
        <f>-((D3585-C3585)/D3585)</f>
        <v>0.021513138896910117</v>
      </c>
      <c r="G3585" s="110">
        <f>C3585-D3585</f>
        <v>0.7449999999999974</v>
      </c>
      <c r="H3585" s="109">
        <v>300</v>
      </c>
      <c r="I3585" s="109" t="s">
        <v>397</v>
      </c>
    </row>
    <row r="3586" spans="1:9" ht="12.75">
      <c r="A3586" s="108"/>
      <c r="B3586" s="108"/>
      <c r="C3586" s="110"/>
      <c r="D3586" s="109"/>
      <c r="E3586" s="109" t="s">
        <v>14</v>
      </c>
      <c r="F3586" s="111">
        <f>AVERAGE(F3577:F3585)</f>
        <v>0.057515078266297745</v>
      </c>
      <c r="G3586" s="110">
        <f>AVERAGE(G3577:G3585)</f>
        <v>2.357013888888888</v>
      </c>
      <c r="H3586" s="109"/>
      <c r="I3586" s="109"/>
    </row>
    <row r="3588" spans="1:9" ht="12.75">
      <c r="A3588" s="112" t="s">
        <v>0</v>
      </c>
      <c r="B3588" s="112" t="s">
        <v>1</v>
      </c>
      <c r="C3588" s="113" t="s">
        <v>403</v>
      </c>
      <c r="D3588" s="113" t="s">
        <v>404</v>
      </c>
      <c r="E3588" s="113" t="s">
        <v>405</v>
      </c>
      <c r="F3588" s="113" t="s">
        <v>5</v>
      </c>
      <c r="G3588" s="113" t="s">
        <v>6</v>
      </c>
      <c r="H3588" s="113" t="s">
        <v>7</v>
      </c>
      <c r="I3588" s="113" t="s">
        <v>8</v>
      </c>
    </row>
    <row r="3589" spans="1:9" ht="12.75">
      <c r="A3589" s="112" t="s">
        <v>406</v>
      </c>
      <c r="B3589" s="112" t="s">
        <v>407</v>
      </c>
      <c r="C3589" s="114">
        <f>(24/20)^1.35*E3589</f>
        <v>34.4070122567781</v>
      </c>
      <c r="D3589" s="113">
        <v>35.3</v>
      </c>
      <c r="E3589" s="113">
        <v>26.9</v>
      </c>
      <c r="F3589" s="115">
        <f>1-(D3589/C3589)</f>
        <v>-0.0259536555094515</v>
      </c>
      <c r="G3589" s="114">
        <f>C3589-D3589</f>
        <v>-0.8929877432218944</v>
      </c>
      <c r="H3589" s="113">
        <v>385</v>
      </c>
      <c r="I3589" s="113" t="s">
        <v>408</v>
      </c>
    </row>
    <row r="3590" spans="1:9" ht="12.75">
      <c r="A3590" s="116" t="s">
        <v>409</v>
      </c>
      <c r="B3590" s="112" t="s">
        <v>410</v>
      </c>
      <c r="C3590" s="114">
        <f>(24/20)^1.35*E3590</f>
        <v>41.69771745616975</v>
      </c>
      <c r="D3590" s="113">
        <v>41.5</v>
      </c>
      <c r="E3590" s="113">
        <v>32.6</v>
      </c>
      <c r="F3590" s="115">
        <f>1-(D3590/C3590)</f>
        <v>0.004741685354302083</v>
      </c>
      <c r="G3590" s="114">
        <f>C3590-D3590</f>
        <v>0.19771745616974812</v>
      </c>
      <c r="H3590" s="113">
        <v>385</v>
      </c>
      <c r="I3590" s="113" t="s">
        <v>408</v>
      </c>
    </row>
    <row r="3591" spans="1:9" ht="12.75">
      <c r="A3591" s="116"/>
      <c r="B3591" s="112" t="s">
        <v>411</v>
      </c>
      <c r="C3591" s="114">
        <f>(24/20)^1.35*E3591</f>
        <v>49.88377241689018</v>
      </c>
      <c r="D3591" s="113">
        <v>49.1</v>
      </c>
      <c r="E3591" s="113">
        <v>39</v>
      </c>
      <c r="F3591" s="115">
        <f>1-(D3591/C3591)</f>
        <v>0.01571197162756688</v>
      </c>
      <c r="G3591" s="114">
        <f>C3591-D3591</f>
        <v>0.7837724168901801</v>
      </c>
      <c r="H3591" s="113">
        <v>385</v>
      </c>
      <c r="I3591" s="113" t="s">
        <v>408</v>
      </c>
    </row>
    <row r="3592" spans="1:9" ht="12.75">
      <c r="A3592" s="116"/>
      <c r="B3592" s="112"/>
      <c r="C3592" s="114"/>
      <c r="D3592" s="113"/>
      <c r="E3592" s="113" t="s">
        <v>14</v>
      </c>
      <c r="F3592" s="115">
        <f>AVERAGE(F3589:F3591)</f>
        <v>-0.001833332842527513</v>
      </c>
      <c r="G3592" s="114">
        <f>AVERAGE(G3589:G3591)</f>
        <v>0.029500709946011245</v>
      </c>
      <c r="H3592" s="113"/>
      <c r="I3592" s="113"/>
    </row>
    <row r="3594" spans="1:9" ht="12.75">
      <c r="A3594" s="116" t="s">
        <v>0</v>
      </c>
      <c r="B3594" s="116" t="s">
        <v>1</v>
      </c>
      <c r="C3594" s="117" t="s">
        <v>412</v>
      </c>
      <c r="D3594" s="117" t="s">
        <v>404</v>
      </c>
      <c r="E3594" s="117" t="s">
        <v>405</v>
      </c>
      <c r="F3594" s="117" t="s">
        <v>5</v>
      </c>
      <c r="G3594" s="117" t="s">
        <v>6</v>
      </c>
      <c r="H3594" s="117" t="s">
        <v>7</v>
      </c>
      <c r="I3594" s="117" t="s">
        <v>8</v>
      </c>
    </row>
    <row r="3595" spans="1:9" ht="12.75">
      <c r="A3595" s="116" t="s">
        <v>406</v>
      </c>
      <c r="B3595" s="116" t="s">
        <v>407</v>
      </c>
      <c r="C3595" s="118">
        <f>(24/20)^2*E3595</f>
        <v>38.736</v>
      </c>
      <c r="D3595" s="117">
        <v>35.3</v>
      </c>
      <c r="E3595" s="117">
        <v>26.9</v>
      </c>
      <c r="F3595" s="119">
        <f>1-(D3595/C3595)</f>
        <v>0.08870301528294089</v>
      </c>
      <c r="G3595" s="118">
        <f>C3595-D3595</f>
        <v>3.436</v>
      </c>
      <c r="H3595" s="117">
        <v>385</v>
      </c>
      <c r="I3595" s="117" t="s">
        <v>408</v>
      </c>
    </row>
    <row r="3596" spans="1:9" ht="12.75">
      <c r="A3596" s="116" t="s">
        <v>409</v>
      </c>
      <c r="B3596" s="116" t="s">
        <v>410</v>
      </c>
      <c r="C3596" s="118">
        <f>(24/20)^2*E3596</f>
        <v>46.944</v>
      </c>
      <c r="D3596" s="117">
        <v>41.5</v>
      </c>
      <c r="E3596" s="117">
        <v>32.6</v>
      </c>
      <c r="F3596" s="119">
        <f>1-(D3596/C3596)</f>
        <v>0.11596796182685754</v>
      </c>
      <c r="G3596" s="118">
        <f>C3596-D3596</f>
        <v>5.444000000000003</v>
      </c>
      <c r="H3596" s="117">
        <v>385</v>
      </c>
      <c r="I3596" s="117" t="s">
        <v>408</v>
      </c>
    </row>
    <row r="3597" spans="1:9" ht="12.75">
      <c r="A3597" s="116"/>
      <c r="B3597" s="116" t="s">
        <v>411</v>
      </c>
      <c r="C3597" s="118">
        <f>(24/20)^2*E3597</f>
        <v>56.16</v>
      </c>
      <c r="D3597" s="117">
        <v>49.1</v>
      </c>
      <c r="E3597" s="117">
        <v>39</v>
      </c>
      <c r="F3597" s="119">
        <f>1-(D3597/C3597)</f>
        <v>0.12571225071225067</v>
      </c>
      <c r="G3597" s="118">
        <f>C3597-D3597</f>
        <v>7.059999999999995</v>
      </c>
      <c r="H3597" s="117">
        <v>385</v>
      </c>
      <c r="I3597" s="117" t="s">
        <v>408</v>
      </c>
    </row>
    <row r="3598" spans="1:9" ht="12.75">
      <c r="A3598" s="116"/>
      <c r="B3598" s="116"/>
      <c r="C3598" s="118"/>
      <c r="D3598" s="117"/>
      <c r="E3598" s="117" t="s">
        <v>14</v>
      </c>
      <c r="F3598" s="119">
        <f>AVERAGE(F3595:F3597)</f>
        <v>0.1101277426073497</v>
      </c>
      <c r="G3598" s="118">
        <f>AVERAGE(G3595:G3597)</f>
        <v>5.313333333333333</v>
      </c>
      <c r="H3598" s="117"/>
      <c r="I3598" s="117"/>
    </row>
    <row r="3599" spans="1:9" ht="12.75">
      <c r="A3599" s="116"/>
      <c r="B3599" s="116"/>
      <c r="C3599" s="118"/>
      <c r="D3599" s="117"/>
      <c r="E3599" s="117"/>
      <c r="F3599" s="119"/>
      <c r="G3599" s="118"/>
      <c r="H3599" s="117"/>
      <c r="I3599" s="117"/>
    </row>
    <row r="3600" spans="1:9" ht="12.75">
      <c r="A3600" s="116" t="s">
        <v>413</v>
      </c>
      <c r="B3600" s="116"/>
      <c r="C3600" s="118"/>
      <c r="D3600" s="117"/>
      <c r="E3600" s="117"/>
      <c r="F3600" s="119"/>
      <c r="G3600" s="118"/>
      <c r="H3600" s="117"/>
      <c r="I3600" s="117"/>
    </row>
    <row r="3601" spans="1:9" ht="12.75">
      <c r="A3601" s="112" t="s">
        <v>0</v>
      </c>
      <c r="B3601" s="112" t="s">
        <v>1</v>
      </c>
      <c r="C3601" s="113" t="s">
        <v>414</v>
      </c>
      <c r="D3601" s="113" t="s">
        <v>404</v>
      </c>
      <c r="E3601" s="113" t="s">
        <v>405</v>
      </c>
      <c r="F3601" s="113" t="s">
        <v>5</v>
      </c>
      <c r="G3601" s="113" t="s">
        <v>6</v>
      </c>
      <c r="H3601" s="113" t="s">
        <v>7</v>
      </c>
      <c r="I3601" s="113" t="s">
        <v>8</v>
      </c>
    </row>
    <row r="3602" spans="1:9" ht="12.75">
      <c r="A3602" s="112" t="s">
        <v>406</v>
      </c>
      <c r="B3602" s="112" t="s">
        <v>407</v>
      </c>
      <c r="C3602" s="114">
        <f>(25.2/21.9)^1.77*E3602</f>
        <v>34.486185023054624</v>
      </c>
      <c r="D3602" s="113">
        <v>35.3</v>
      </c>
      <c r="E3602" s="113">
        <v>26.9</v>
      </c>
      <c r="F3602" s="115">
        <f>-((D3602-C3602)/D3602)</f>
        <v>-0.023054248638679133</v>
      </c>
      <c r="G3602" s="114">
        <f>C3602-D3602</f>
        <v>-0.8138149769453733</v>
      </c>
      <c r="H3602" s="113">
        <v>385</v>
      </c>
      <c r="I3602" s="113" t="s">
        <v>408</v>
      </c>
    </row>
    <row r="3603" spans="1:9" ht="12.75">
      <c r="A3603" s="116" t="s">
        <v>409</v>
      </c>
      <c r="B3603" s="112" t="s">
        <v>410</v>
      </c>
      <c r="C3603" s="114">
        <f>(25.2/21.9)^1.77*E3603</f>
        <v>41.79366660786546</v>
      </c>
      <c r="D3603" s="113">
        <v>41.5</v>
      </c>
      <c r="E3603" s="113">
        <v>32.6</v>
      </c>
      <c r="F3603" s="115">
        <f>-((D3603-C3603)/D3603)</f>
        <v>0.007076303803987013</v>
      </c>
      <c r="G3603" s="114">
        <f>C3603-D3603</f>
        <v>0.29366660786546106</v>
      </c>
      <c r="H3603" s="113">
        <v>385</v>
      </c>
      <c r="I3603" s="113" t="s">
        <v>408</v>
      </c>
    </row>
    <row r="3604" spans="1:9" ht="12.75">
      <c r="A3604" s="116"/>
      <c r="B3604" s="112" t="s">
        <v>411</v>
      </c>
      <c r="C3604" s="114">
        <f>(25.2/21.9)^1.77*E3604</f>
        <v>49.99855821186358</v>
      </c>
      <c r="D3604" s="113">
        <v>49.1</v>
      </c>
      <c r="E3604" s="113">
        <v>39</v>
      </c>
      <c r="F3604" s="115">
        <f>-((D3604-C3604)/D3604)</f>
        <v>0.01830057457970632</v>
      </c>
      <c r="G3604" s="114">
        <f>C3604-D3604</f>
        <v>0.8985582118635804</v>
      </c>
      <c r="H3604" s="113">
        <v>385</v>
      </c>
      <c r="I3604" s="113" t="s">
        <v>408</v>
      </c>
    </row>
    <row r="3605" spans="1:9" ht="12.75">
      <c r="A3605" s="116"/>
      <c r="B3605" s="112"/>
      <c r="C3605" s="114"/>
      <c r="D3605" s="113"/>
      <c r="E3605" s="113" t="s">
        <v>14</v>
      </c>
      <c r="F3605" s="115">
        <f>AVERAGE(F3602:F3604)</f>
        <v>0.0007742099150047331</v>
      </c>
      <c r="G3605" s="114">
        <f>AVERAGE(G3602:G3604)</f>
        <v>0.12613661426122272</v>
      </c>
      <c r="H3605" s="113"/>
      <c r="I3605" s="113"/>
    </row>
    <row r="3606" spans="1:9" ht="12.75">
      <c r="A3606" s="116"/>
      <c r="B3606" s="112"/>
      <c r="C3606" s="114"/>
      <c r="D3606" s="113"/>
      <c r="E3606" s="113"/>
      <c r="F3606" s="115"/>
      <c r="G3606" s="114"/>
      <c r="H3606" s="113"/>
      <c r="I3606" s="113"/>
    </row>
    <row r="3607" spans="1:9" ht="12.75">
      <c r="A3607" s="116" t="s">
        <v>413</v>
      </c>
      <c r="B3607" s="116"/>
      <c r="C3607" s="118"/>
      <c r="D3607" s="117"/>
      <c r="E3607" s="117"/>
      <c r="F3607" s="119"/>
      <c r="G3607" s="118"/>
      <c r="H3607" s="117"/>
      <c r="I3607" s="117"/>
    </row>
    <row r="3608" spans="1:9" ht="12.75">
      <c r="A3608" s="116" t="s">
        <v>0</v>
      </c>
      <c r="B3608" s="116" t="s">
        <v>1</v>
      </c>
      <c r="C3608" s="117" t="s">
        <v>415</v>
      </c>
      <c r="D3608" s="117" t="s">
        <v>404</v>
      </c>
      <c r="E3608" s="117" t="s">
        <v>405</v>
      </c>
      <c r="F3608" s="117" t="s">
        <v>5</v>
      </c>
      <c r="G3608" s="117" t="s">
        <v>6</v>
      </c>
      <c r="H3608" s="117" t="s">
        <v>7</v>
      </c>
      <c r="I3608" s="117" t="s">
        <v>8</v>
      </c>
    </row>
    <row r="3609" spans="1:9" ht="12.75">
      <c r="A3609" s="116" t="s">
        <v>406</v>
      </c>
      <c r="B3609" s="116" t="s">
        <v>407</v>
      </c>
      <c r="C3609" s="118">
        <f>(25.2/21.9)^2*E3609</f>
        <v>35.617639331957214</v>
      </c>
      <c r="D3609" s="117">
        <v>35.3</v>
      </c>
      <c r="E3609" s="117">
        <v>26.9</v>
      </c>
      <c r="F3609" s="119">
        <f>-((D3609-C3609)/D3609)</f>
        <v>0.008998281358561391</v>
      </c>
      <c r="G3609" s="118">
        <f>C3609-D3609</f>
        <v>0.31763933195721705</v>
      </c>
      <c r="H3609" s="117">
        <v>385</v>
      </c>
      <c r="I3609" s="117" t="s">
        <v>408</v>
      </c>
    </row>
    <row r="3610" spans="1:9" ht="12.75">
      <c r="A3610" s="116" t="s">
        <v>409</v>
      </c>
      <c r="B3610" s="116" t="s">
        <v>410</v>
      </c>
      <c r="C3610" s="118">
        <f>(24.4/21.2)^2*E3610</f>
        <v>43.184264862940545</v>
      </c>
      <c r="D3610" s="117">
        <v>41.5</v>
      </c>
      <c r="E3610" s="117">
        <v>32.6</v>
      </c>
      <c r="F3610" s="119">
        <f>-((D3610-C3610)/D3610)</f>
        <v>0.04058469549254324</v>
      </c>
      <c r="G3610" s="118">
        <f>C3610-D3610</f>
        <v>1.6842648629405446</v>
      </c>
      <c r="H3610" s="117">
        <v>385</v>
      </c>
      <c r="I3610" s="117" t="s">
        <v>408</v>
      </c>
    </row>
    <row r="3611" spans="1:9" ht="12.75">
      <c r="A3611" s="116"/>
      <c r="B3611" s="116" t="s">
        <v>411</v>
      </c>
      <c r="C3611" s="118">
        <f>(23.5/20.7)^2*E3611</f>
        <v>50.26430021704123</v>
      </c>
      <c r="D3611" s="117">
        <v>49.1</v>
      </c>
      <c r="E3611" s="117">
        <v>39</v>
      </c>
      <c r="F3611" s="119">
        <f>-((D3611-C3611)/D3611)</f>
        <v>0.023712835377621796</v>
      </c>
      <c r="G3611" s="118">
        <f>C3611-D3611</f>
        <v>1.1643002170412302</v>
      </c>
      <c r="H3611" s="117">
        <v>385</v>
      </c>
      <c r="I3611" s="117" t="s">
        <v>408</v>
      </c>
    </row>
    <row r="3612" spans="1:9" ht="12.75">
      <c r="A3612" s="116"/>
      <c r="B3612" s="116"/>
      <c r="C3612" s="118"/>
      <c r="D3612" s="117"/>
      <c r="E3612" s="117" t="s">
        <v>14</v>
      </c>
      <c r="F3612" s="119">
        <f>AVERAGE(F3609:F3611)</f>
        <v>0.024431937409575475</v>
      </c>
      <c r="G3612" s="118">
        <f>AVERAGE(G3609:G3611)</f>
        <v>1.0554014706463306</v>
      </c>
      <c r="H3612" s="117"/>
      <c r="I3612" s="117"/>
    </row>
    <row r="3614" spans="1:9" ht="12.75">
      <c r="A3614" s="112" t="s">
        <v>0</v>
      </c>
      <c r="B3614" s="112" t="s">
        <v>1</v>
      </c>
      <c r="C3614" s="113" t="s">
        <v>416</v>
      </c>
      <c r="D3614" s="113" t="s">
        <v>404</v>
      </c>
      <c r="E3614" s="113" t="s">
        <v>405</v>
      </c>
      <c r="F3614" s="113" t="s">
        <v>5</v>
      </c>
      <c r="G3614" s="113" t="s">
        <v>6</v>
      </c>
      <c r="H3614" s="113" t="s">
        <v>7</v>
      </c>
      <c r="I3614" s="113" t="s">
        <v>8</v>
      </c>
    </row>
    <row r="3615" spans="1:9" ht="12.75">
      <c r="A3615" s="112" t="s">
        <v>417</v>
      </c>
      <c r="B3615" s="112" t="s">
        <v>411</v>
      </c>
      <c r="C3615" s="114">
        <f>(24/20)^1.5*E3615</f>
        <v>29.70847151908021</v>
      </c>
      <c r="D3615" s="113">
        <v>29.6</v>
      </c>
      <c r="E3615" s="113">
        <v>22.6</v>
      </c>
      <c r="F3615" s="115">
        <f>1-(D3615/C3615)</f>
        <v>0.0036511982452729352</v>
      </c>
      <c r="G3615" s="114">
        <f>C3615-D3615</f>
        <v>0.10847151908020791</v>
      </c>
      <c r="H3615" s="113">
        <v>305</v>
      </c>
      <c r="I3615" s="113" t="s">
        <v>408</v>
      </c>
    </row>
    <row r="3616" spans="1:9" ht="12.75">
      <c r="A3616" s="116" t="s">
        <v>409</v>
      </c>
      <c r="B3616" s="112" t="s">
        <v>418</v>
      </c>
      <c r="C3616" s="114">
        <f>(24/20)^1.5*E3616</f>
        <v>27.73667031206161</v>
      </c>
      <c r="D3616" s="113">
        <v>27.5</v>
      </c>
      <c r="E3616" s="113">
        <v>21.1</v>
      </c>
      <c r="F3616" s="115">
        <f>1-(D3616/C3616)</f>
        <v>0.008532758597151746</v>
      </c>
      <c r="G3616" s="114">
        <f>C3616-D3616</f>
        <v>0.2366703120616087</v>
      </c>
      <c r="H3616" s="113">
        <v>305</v>
      </c>
      <c r="I3616" s="113" t="s">
        <v>408</v>
      </c>
    </row>
    <row r="3617" spans="1:9" ht="12.75">
      <c r="A3617" s="116"/>
      <c r="B3617" s="112" t="s">
        <v>419</v>
      </c>
      <c r="C3617" s="114">
        <f>(24/20)^1.5*E3617</f>
        <v>34.04643417452112</v>
      </c>
      <c r="D3617" s="113">
        <v>33.3</v>
      </c>
      <c r="E3617" s="113">
        <v>25.9</v>
      </c>
      <c r="F3617" s="115">
        <f>1-(D3617/C3617)</f>
        <v>0.021924004455060375</v>
      </c>
      <c r="G3617" s="114">
        <f>C3617-D3617</f>
        <v>0.74643417452112</v>
      </c>
      <c r="H3617" s="113">
        <v>305</v>
      </c>
      <c r="I3617" s="113" t="s">
        <v>408</v>
      </c>
    </row>
    <row r="3618" spans="2:9" ht="12.75">
      <c r="B3618" s="112" t="s">
        <v>420</v>
      </c>
      <c r="C3618" s="114">
        <f>(24/20)^1.5*E3618</f>
        <v>35.88678196773848</v>
      </c>
      <c r="D3618" s="113">
        <v>35.1</v>
      </c>
      <c r="E3618" s="113">
        <v>27.3</v>
      </c>
      <c r="F3618" s="115">
        <f>1-(D3618/C3618)</f>
        <v>0.021924004455060375</v>
      </c>
      <c r="G3618" s="114">
        <f>C3618-D3618</f>
        <v>0.7867819677384773</v>
      </c>
      <c r="H3618" s="113">
        <v>305</v>
      </c>
      <c r="I3618" s="113" t="s">
        <v>408</v>
      </c>
    </row>
    <row r="3619" spans="5:7" ht="12.75">
      <c r="E3619" s="113" t="s">
        <v>14</v>
      </c>
      <c r="F3619" s="115">
        <f>AVERAGE(F3615:F3618)</f>
        <v>0.014007991438136358</v>
      </c>
      <c r="G3619" s="114">
        <f>AVERAGE(G3615:G3618)</f>
        <v>0.4695894933503535</v>
      </c>
    </row>
    <row r="3621" spans="1:9" ht="12.75">
      <c r="A3621" s="116" t="s">
        <v>0</v>
      </c>
      <c r="B3621" s="116" t="s">
        <v>1</v>
      </c>
      <c r="C3621" s="117" t="s">
        <v>412</v>
      </c>
      <c r="D3621" s="117" t="s">
        <v>404</v>
      </c>
      <c r="E3621" s="117" t="s">
        <v>405</v>
      </c>
      <c r="F3621" s="117" t="s">
        <v>5</v>
      </c>
      <c r="G3621" s="117" t="s">
        <v>6</v>
      </c>
      <c r="H3621" s="117" t="s">
        <v>7</v>
      </c>
      <c r="I3621" s="117" t="s">
        <v>8</v>
      </c>
    </row>
    <row r="3622" spans="1:9" ht="12.75">
      <c r="A3622" s="116" t="s">
        <v>417</v>
      </c>
      <c r="B3622" s="116" t="s">
        <v>411</v>
      </c>
      <c r="C3622" s="118">
        <f>(24/20)^2*E3622</f>
        <v>32.544000000000004</v>
      </c>
      <c r="D3622" s="117">
        <v>29.6</v>
      </c>
      <c r="E3622" s="117">
        <v>22.6</v>
      </c>
      <c r="F3622" s="119">
        <f>1-(D3622/C3622)</f>
        <v>0.09046214355948878</v>
      </c>
      <c r="G3622" s="118">
        <f>C3622-D3622</f>
        <v>2.9440000000000026</v>
      </c>
      <c r="H3622" s="117">
        <v>305</v>
      </c>
      <c r="I3622" s="117" t="s">
        <v>408</v>
      </c>
    </row>
    <row r="3623" spans="1:9" ht="12.75">
      <c r="A3623" s="116" t="s">
        <v>409</v>
      </c>
      <c r="B3623" s="116" t="s">
        <v>418</v>
      </c>
      <c r="C3623" s="118">
        <f>(24/20)^2*E3623</f>
        <v>30.384</v>
      </c>
      <c r="D3623" s="117">
        <v>27.5</v>
      </c>
      <c r="E3623" s="117">
        <v>21.1</v>
      </c>
      <c r="F3623" s="119">
        <f>1-(D3623/C3623)</f>
        <v>0.0949183780937336</v>
      </c>
      <c r="G3623" s="118">
        <f>C3623-D3623</f>
        <v>2.8840000000000003</v>
      </c>
      <c r="H3623" s="117">
        <v>305</v>
      </c>
      <c r="I3623" s="117" t="s">
        <v>408</v>
      </c>
    </row>
    <row r="3624" spans="1:9" ht="12.75">
      <c r="A3624" s="116"/>
      <c r="B3624" s="116" t="s">
        <v>419</v>
      </c>
      <c r="C3624" s="118">
        <f>(24/20)^2*E3624</f>
        <v>37.296</v>
      </c>
      <c r="D3624" s="117">
        <v>33.3</v>
      </c>
      <c r="E3624" s="117">
        <v>25.9</v>
      </c>
      <c r="F3624" s="119">
        <f>1-(D3624/C3624)</f>
        <v>0.1071428571428572</v>
      </c>
      <c r="G3624" s="118">
        <f>C3624-D3624</f>
        <v>3.996000000000002</v>
      </c>
      <c r="H3624" s="117">
        <v>305</v>
      </c>
      <c r="I3624" s="117" t="s">
        <v>408</v>
      </c>
    </row>
    <row r="3625" spans="1:9" ht="12.75">
      <c r="A3625" s="5"/>
      <c r="B3625" s="116" t="s">
        <v>420</v>
      </c>
      <c r="C3625" s="118">
        <f>(24/20)^2*E3625</f>
        <v>39.312</v>
      </c>
      <c r="D3625" s="117">
        <v>35.1</v>
      </c>
      <c r="E3625" s="117">
        <v>27.3</v>
      </c>
      <c r="F3625" s="119">
        <f>1-(D3625/C3625)</f>
        <v>0.1071428571428571</v>
      </c>
      <c r="G3625" s="118">
        <f>C3625-D3625</f>
        <v>4.211999999999996</v>
      </c>
      <c r="H3625" s="117">
        <v>305</v>
      </c>
      <c r="I3625" s="117" t="s">
        <v>408</v>
      </c>
    </row>
    <row r="3626" spans="1:9" ht="12.75">
      <c r="A3626" s="5"/>
      <c r="B3626" s="5"/>
      <c r="C3626" s="5"/>
      <c r="D3626" s="5"/>
      <c r="E3626" s="117" t="s">
        <v>14</v>
      </c>
      <c r="F3626" s="119">
        <f>AVERAGE(F3622:F3625)</f>
        <v>0.09991655898473417</v>
      </c>
      <c r="G3626" s="118">
        <f>AVERAGE(G3622:G3625)</f>
        <v>3.5090000000000003</v>
      </c>
      <c r="H3626" s="5"/>
      <c r="I3626" s="5"/>
    </row>
    <row r="3627" spans="1:9" ht="12.75">
      <c r="A3627" s="5"/>
      <c r="B3627" s="5"/>
      <c r="C3627" s="5"/>
      <c r="D3627" s="5"/>
      <c r="E3627" s="117"/>
      <c r="F3627" s="119"/>
      <c r="G3627" s="118"/>
      <c r="H3627" s="5"/>
      <c r="I3627" s="5"/>
    </row>
    <row r="3628" spans="1:9" ht="12.75">
      <c r="A3628" s="116" t="s">
        <v>413</v>
      </c>
      <c r="B3628" s="5"/>
      <c r="C3628" s="5"/>
      <c r="D3628" s="5"/>
      <c r="E3628" s="117"/>
      <c r="F3628" s="119"/>
      <c r="G3628" s="118"/>
      <c r="H3628" s="5"/>
      <c r="I3628" s="5"/>
    </row>
    <row r="3629" spans="1:9" ht="12.75">
      <c r="A3629" s="112" t="s">
        <v>0</v>
      </c>
      <c r="B3629" s="112" t="s">
        <v>1</v>
      </c>
      <c r="C3629" s="113" t="s">
        <v>421</v>
      </c>
      <c r="D3629" s="113" t="s">
        <v>404</v>
      </c>
      <c r="E3629" s="113" t="s">
        <v>405</v>
      </c>
      <c r="F3629" s="113" t="s">
        <v>5</v>
      </c>
      <c r="G3629" s="113" t="s">
        <v>6</v>
      </c>
      <c r="H3629" s="113" t="s">
        <v>7</v>
      </c>
      <c r="I3629" s="113" t="s">
        <v>8</v>
      </c>
    </row>
    <row r="3630" spans="1:9" ht="12.75">
      <c r="A3630" s="112" t="s">
        <v>417</v>
      </c>
      <c r="B3630" s="112" t="s">
        <v>411</v>
      </c>
      <c r="C3630" s="114">
        <f>(25.9/22.3)^1.74*E3630</f>
        <v>29.322403584298108</v>
      </c>
      <c r="D3630" s="113">
        <v>29.6</v>
      </c>
      <c r="E3630" s="113">
        <v>22.6</v>
      </c>
      <c r="F3630" s="115">
        <f>-((D3630-C3630)/D3630)</f>
        <v>-0.009378257287226124</v>
      </c>
      <c r="G3630" s="114">
        <f>C3630-D3630</f>
        <v>-0.2775964157018933</v>
      </c>
      <c r="H3630" s="113">
        <v>305</v>
      </c>
      <c r="I3630" s="113" t="s">
        <v>408</v>
      </c>
    </row>
    <row r="3631" spans="1:9" ht="12.75">
      <c r="A3631" s="116" t="s">
        <v>409</v>
      </c>
      <c r="B3631" s="112" t="s">
        <v>418</v>
      </c>
      <c r="C3631" s="114">
        <f>(25.9/22.3)^1.74*E3631</f>
        <v>27.376226355251774</v>
      </c>
      <c r="D3631" s="113">
        <v>27.5</v>
      </c>
      <c r="E3631" s="113">
        <v>21.1</v>
      </c>
      <c r="F3631" s="115">
        <f>-((D3631-C3631)/D3631)</f>
        <v>-0.00450085980902641</v>
      </c>
      <c r="G3631" s="114">
        <f>C3631-D3631</f>
        <v>-0.12377364474822627</v>
      </c>
      <c r="H3631" s="113">
        <v>305</v>
      </c>
      <c r="I3631" s="113" t="s">
        <v>408</v>
      </c>
    </row>
    <row r="3632" spans="1:9" ht="12.75">
      <c r="A3632" s="116"/>
      <c r="B3632" s="112" t="s">
        <v>419</v>
      </c>
      <c r="C3632" s="114">
        <f>(25.9/22.3)^1.74*E3632</f>
        <v>33.60399348820004</v>
      </c>
      <c r="D3632" s="113">
        <v>33.3</v>
      </c>
      <c r="E3632" s="113">
        <v>25.9</v>
      </c>
      <c r="F3632" s="115">
        <f>-((D3632-C3632)/D3632)</f>
        <v>0.009128933579580853</v>
      </c>
      <c r="G3632" s="114">
        <f>C3632-D3632</f>
        <v>0.30399348820004235</v>
      </c>
      <c r="H3632" s="113">
        <v>305</v>
      </c>
      <c r="I3632" s="113" t="s">
        <v>408</v>
      </c>
    </row>
    <row r="3633" spans="2:9" ht="12.75">
      <c r="B3633" s="112" t="s">
        <v>420</v>
      </c>
      <c r="C3633" s="114">
        <f>(25.9/22.3)^1.74*E3633</f>
        <v>35.42042556864329</v>
      </c>
      <c r="D3633" s="113">
        <v>35.1</v>
      </c>
      <c r="E3633" s="113">
        <v>27.3</v>
      </c>
      <c r="F3633" s="115">
        <f>-((D3633-C3633)/D3633)</f>
        <v>0.009128933579580835</v>
      </c>
      <c r="G3633" s="114">
        <f>C3633-D3633</f>
        <v>0.3204255686432873</v>
      </c>
      <c r="H3633" s="113">
        <v>305</v>
      </c>
      <c r="I3633" s="113" t="s">
        <v>408</v>
      </c>
    </row>
    <row r="3634" spans="2:9" ht="12.75">
      <c r="B3634" s="112"/>
      <c r="C3634" s="114"/>
      <c r="D3634" s="113"/>
      <c r="E3634" s="113" t="s">
        <v>14</v>
      </c>
      <c r="F3634" s="115">
        <f>AVERAGE(F3630:F3633)</f>
        <v>0.0010946875157272881</v>
      </c>
      <c r="G3634" s="114">
        <f>AVERAGE(G3630:G3633)</f>
        <v>0.05576224909830252</v>
      </c>
      <c r="H3634" s="113"/>
      <c r="I3634" s="113"/>
    </row>
    <row r="3635" spans="2:9" ht="12.75">
      <c r="B3635" s="112"/>
      <c r="C3635" s="114"/>
      <c r="D3635" s="113"/>
      <c r="E3635" s="113"/>
      <c r="F3635" s="115"/>
      <c r="G3635" s="114"/>
      <c r="H3635" s="113"/>
      <c r="I3635" s="113"/>
    </row>
    <row r="3636" spans="1:9" ht="12.75">
      <c r="A3636" s="116" t="s">
        <v>413</v>
      </c>
      <c r="B3636" s="5"/>
      <c r="C3636" s="5"/>
      <c r="D3636" s="5"/>
      <c r="E3636" s="117"/>
      <c r="F3636" s="119"/>
      <c r="G3636" s="118"/>
      <c r="H3636" s="5"/>
      <c r="I3636" s="5"/>
    </row>
    <row r="3637" spans="1:9" ht="12.75">
      <c r="A3637" s="116" t="s">
        <v>0</v>
      </c>
      <c r="B3637" s="116" t="s">
        <v>1</v>
      </c>
      <c r="C3637" s="117" t="s">
        <v>415</v>
      </c>
      <c r="D3637" s="117" t="s">
        <v>404</v>
      </c>
      <c r="E3637" s="117" t="s">
        <v>405</v>
      </c>
      <c r="F3637" s="117" t="s">
        <v>5</v>
      </c>
      <c r="G3637" s="117" t="s">
        <v>6</v>
      </c>
      <c r="H3637" s="117" t="s">
        <v>7</v>
      </c>
      <c r="I3637" s="117" t="s">
        <v>8</v>
      </c>
    </row>
    <row r="3638" spans="1:9" ht="12.75">
      <c r="A3638" s="116" t="s">
        <v>417</v>
      </c>
      <c r="B3638" s="116" t="s">
        <v>411</v>
      </c>
      <c r="C3638" s="118">
        <f>(25.9/22.3)^2*E3638</f>
        <v>30.485845281425316</v>
      </c>
      <c r="D3638" s="117">
        <v>29.6</v>
      </c>
      <c r="E3638" s="117">
        <v>22.6</v>
      </c>
      <c r="F3638" s="119">
        <f>-((D3638-C3638)/D3638)</f>
        <v>0.029927205453557933</v>
      </c>
      <c r="G3638" s="118">
        <f>C3638-D3638</f>
        <v>0.8858452814253148</v>
      </c>
      <c r="H3638" s="117">
        <v>305</v>
      </c>
      <c r="I3638" s="117" t="s">
        <v>408</v>
      </c>
    </row>
    <row r="3639" spans="1:9" ht="12.75">
      <c r="A3639" s="116" t="s">
        <v>409</v>
      </c>
      <c r="B3639" s="116" t="s">
        <v>418</v>
      </c>
      <c r="C3639" s="118">
        <f>(26.2/22.5)^2*E3639</f>
        <v>28.6101412345679</v>
      </c>
      <c r="D3639" s="117">
        <v>27.5</v>
      </c>
      <c r="E3639" s="117">
        <v>21.1</v>
      </c>
      <c r="F3639" s="119">
        <f>-((D3639-C3639)/D3639)</f>
        <v>0.040368772166105515</v>
      </c>
      <c r="G3639" s="118">
        <f>C3639-D3639</f>
        <v>1.1101412345679016</v>
      </c>
      <c r="H3639" s="117">
        <v>305</v>
      </c>
      <c r="I3639" s="117" t="s">
        <v>408</v>
      </c>
    </row>
    <row r="3640" spans="1:9" ht="12.75">
      <c r="A3640" s="116"/>
      <c r="B3640" s="116" t="s">
        <v>419</v>
      </c>
      <c r="C3640" s="118">
        <f>(25.2/22)^2*E3640</f>
        <v>33.98251239669422</v>
      </c>
      <c r="D3640" s="117">
        <v>33.3</v>
      </c>
      <c r="E3640" s="117">
        <v>25.9</v>
      </c>
      <c r="F3640" s="119">
        <f>-((D3640-C3640)/D3640)</f>
        <v>0.02049586776859524</v>
      </c>
      <c r="G3640" s="118">
        <f>C3640-D3640</f>
        <v>0.6825123966942215</v>
      </c>
      <c r="H3640" s="117">
        <v>305</v>
      </c>
      <c r="I3640" s="117" t="s">
        <v>408</v>
      </c>
    </row>
    <row r="3641" spans="1:9" ht="12.75">
      <c r="A3641" s="5"/>
      <c r="B3641" s="116" t="s">
        <v>420</v>
      </c>
      <c r="C3641" s="118">
        <f>(25.3/21.8)^2*E3641</f>
        <v>36.769752125241986</v>
      </c>
      <c r="D3641" s="117">
        <v>35.1</v>
      </c>
      <c r="E3641" s="117">
        <v>27.3</v>
      </c>
      <c r="F3641" s="119">
        <f>-((D3641-C3641)/D3641)</f>
        <v>0.04757128561942976</v>
      </c>
      <c r="G3641" s="118">
        <f>C3641-D3641</f>
        <v>1.6697521252419847</v>
      </c>
      <c r="H3641" s="117">
        <v>305</v>
      </c>
      <c r="I3641" s="117" t="s">
        <v>408</v>
      </c>
    </row>
    <row r="3642" spans="1:9" ht="12.75">
      <c r="A3642" s="5"/>
      <c r="B3642" s="116"/>
      <c r="C3642" s="118"/>
      <c r="D3642" s="117"/>
      <c r="E3642" s="117" t="s">
        <v>14</v>
      </c>
      <c r="F3642" s="119">
        <f>AVERAGE(F3638:F3641)</f>
        <v>0.034590782751922115</v>
      </c>
      <c r="G3642" s="118">
        <f>AVERAGE(G3638:G3641)</f>
        <v>1.0870627594823556</v>
      </c>
      <c r="H3642" s="117"/>
      <c r="I3642" s="117"/>
    </row>
    <row r="3644" spans="1:9" ht="12.75">
      <c r="A3644" s="120" t="s">
        <v>0</v>
      </c>
      <c r="B3644" s="120" t="s">
        <v>1</v>
      </c>
      <c r="C3644" s="121" t="s">
        <v>422</v>
      </c>
      <c r="D3644" s="121" t="s">
        <v>423</v>
      </c>
      <c r="E3644" s="121" t="s">
        <v>424</v>
      </c>
      <c r="F3644" s="121" t="s">
        <v>5</v>
      </c>
      <c r="G3644" s="121" t="s">
        <v>6</v>
      </c>
      <c r="H3644" s="121" t="s">
        <v>7</v>
      </c>
      <c r="I3644" s="121" t="s">
        <v>8</v>
      </c>
    </row>
    <row r="3645" spans="1:9" ht="12.75">
      <c r="A3645" s="120" t="s">
        <v>417</v>
      </c>
      <c r="B3645" s="120" t="s">
        <v>407</v>
      </c>
      <c r="C3645" s="122">
        <f>(30/24)^1.5*E3645</f>
        <v>27.811095470153635</v>
      </c>
      <c r="D3645" s="121">
        <v>28</v>
      </c>
      <c r="E3645" s="121">
        <v>19.9</v>
      </c>
      <c r="F3645" s="123">
        <f>1-(D3645/C3645)</f>
        <v>-0.006792415999905321</v>
      </c>
      <c r="G3645" s="122">
        <f>C3645-D3645</f>
        <v>-0.18890452984636497</v>
      </c>
      <c r="H3645" s="121">
        <v>305</v>
      </c>
      <c r="I3645" s="121" t="s">
        <v>408</v>
      </c>
    </row>
    <row r="3646" spans="1:9" ht="12.75">
      <c r="A3646" s="124" t="s">
        <v>409</v>
      </c>
      <c r="B3646" s="120" t="s">
        <v>410</v>
      </c>
      <c r="C3646" s="122">
        <f>(30/24)^1.5*E3646</f>
        <v>34.100036656871794</v>
      </c>
      <c r="D3646" s="121">
        <v>33.3</v>
      </c>
      <c r="E3646" s="121">
        <v>24.4</v>
      </c>
      <c r="F3646" s="123">
        <f>1-(D3646/C3646)</f>
        <v>0.023461460318124683</v>
      </c>
      <c r="G3646" s="122">
        <f>C3646-D3646</f>
        <v>0.8000366568717965</v>
      </c>
      <c r="H3646" s="121">
        <v>305</v>
      </c>
      <c r="I3646" s="121" t="s">
        <v>408</v>
      </c>
    </row>
    <row r="3647" spans="1:9" ht="12.75">
      <c r="A3647" s="124"/>
      <c r="B3647" s="120" t="s">
        <v>411</v>
      </c>
      <c r="C3647" s="122">
        <f>(30/24)^1.5*E3647</f>
        <v>41.36725758374612</v>
      </c>
      <c r="D3647" s="121">
        <v>39.6</v>
      </c>
      <c r="E3647" s="121">
        <v>29.6</v>
      </c>
      <c r="F3647" s="123">
        <f>1-(D3647/C3647)</f>
        <v>0.04272116855144148</v>
      </c>
      <c r="G3647" s="122">
        <f>C3647-D3647</f>
        <v>1.7672575837461153</v>
      </c>
      <c r="H3647" s="121">
        <v>305</v>
      </c>
      <c r="I3647" s="121" t="s">
        <v>408</v>
      </c>
    </row>
    <row r="3648" spans="1:9" ht="12.75">
      <c r="A3648" s="124"/>
      <c r="B3648" s="120" t="s">
        <v>418</v>
      </c>
      <c r="C3648" s="122">
        <f>(30/24)^1.5*E3648</f>
        <v>38.432418363277634</v>
      </c>
      <c r="D3648" s="121">
        <v>37.1</v>
      </c>
      <c r="E3648" s="121">
        <v>27.5</v>
      </c>
      <c r="F3648" s="123">
        <f>1-(D3648/C3648)</f>
        <v>0.03466912622263618</v>
      </c>
      <c r="G3648" s="122">
        <f>C3648-D3648</f>
        <v>1.3324183632776325</v>
      </c>
      <c r="H3648" s="121">
        <v>305</v>
      </c>
      <c r="I3648" s="121" t="s">
        <v>408</v>
      </c>
    </row>
    <row r="3649" spans="5:7" ht="12.75">
      <c r="E3649" s="121" t="s">
        <v>14</v>
      </c>
      <c r="F3649" s="123">
        <f>AVERAGE(F3645:F3648)</f>
        <v>0.023514834773074256</v>
      </c>
      <c r="G3649" s="122">
        <f>AVERAGE(G3645:G3648)</f>
        <v>0.9277020185122948</v>
      </c>
    </row>
    <row r="3651" spans="1:9" ht="12.75">
      <c r="A3651" s="124" t="s">
        <v>0</v>
      </c>
      <c r="B3651" s="124" t="s">
        <v>1</v>
      </c>
      <c r="C3651" s="125" t="s">
        <v>425</v>
      </c>
      <c r="D3651" s="125" t="s">
        <v>423</v>
      </c>
      <c r="E3651" s="125" t="s">
        <v>424</v>
      </c>
      <c r="F3651" s="125" t="s">
        <v>5</v>
      </c>
      <c r="G3651" s="125" t="s">
        <v>6</v>
      </c>
      <c r="H3651" s="125" t="s">
        <v>7</v>
      </c>
      <c r="I3651" s="125" t="s">
        <v>8</v>
      </c>
    </row>
    <row r="3652" spans="1:9" ht="12.75">
      <c r="A3652" s="124" t="s">
        <v>417</v>
      </c>
      <c r="B3652" s="124" t="s">
        <v>407</v>
      </c>
      <c r="C3652" s="126">
        <f>(30/24)^2*E3652</f>
        <v>31.093749999999996</v>
      </c>
      <c r="D3652" s="125">
        <v>28</v>
      </c>
      <c r="E3652" s="125">
        <v>19.9</v>
      </c>
      <c r="F3652" s="127">
        <f>1-(D3652/C3652)</f>
        <v>0.09949748743718578</v>
      </c>
      <c r="G3652" s="126">
        <f>C3652-D3652</f>
        <v>3.0937499999999964</v>
      </c>
      <c r="H3652" s="125">
        <v>305</v>
      </c>
      <c r="I3652" s="125" t="s">
        <v>408</v>
      </c>
    </row>
    <row r="3653" spans="1:9" ht="12.75">
      <c r="A3653" s="124" t="s">
        <v>409</v>
      </c>
      <c r="B3653" s="124" t="s">
        <v>410</v>
      </c>
      <c r="C3653" s="126">
        <f>(30/24)^2*E3653</f>
        <v>38.125</v>
      </c>
      <c r="D3653" s="125">
        <v>33.3</v>
      </c>
      <c r="E3653" s="125">
        <v>24.4</v>
      </c>
      <c r="F3653" s="127">
        <f>1-(D3653/C3653)</f>
        <v>0.12655737704918035</v>
      </c>
      <c r="G3653" s="126">
        <f>C3653-D3653</f>
        <v>4.825000000000003</v>
      </c>
      <c r="H3653" s="125">
        <v>305</v>
      </c>
      <c r="I3653" s="125" t="s">
        <v>408</v>
      </c>
    </row>
    <row r="3654" spans="1:9" ht="12.75">
      <c r="A3654" s="124"/>
      <c r="B3654" s="124" t="s">
        <v>411</v>
      </c>
      <c r="C3654" s="126">
        <f>(30/24)^2*E3654</f>
        <v>46.25</v>
      </c>
      <c r="D3654" s="125">
        <v>39.6</v>
      </c>
      <c r="E3654" s="125">
        <v>29.6</v>
      </c>
      <c r="F3654" s="127">
        <f>1-(D3654/C3654)</f>
        <v>0.14378378378378376</v>
      </c>
      <c r="G3654" s="126">
        <f>C3654-D3654</f>
        <v>6.649999999999999</v>
      </c>
      <c r="H3654" s="125">
        <v>305</v>
      </c>
      <c r="I3654" s="125" t="s">
        <v>408</v>
      </c>
    </row>
    <row r="3655" spans="1:9" ht="12.75">
      <c r="A3655" s="124"/>
      <c r="B3655" s="124" t="s">
        <v>418</v>
      </c>
      <c r="C3655" s="126">
        <f>(30/24)^2*E3655</f>
        <v>42.96875</v>
      </c>
      <c r="D3655" s="125">
        <v>37.1</v>
      </c>
      <c r="E3655" s="125">
        <v>27.5</v>
      </c>
      <c r="F3655" s="127">
        <f>1-(D3655/C3655)</f>
        <v>0.13658181818181814</v>
      </c>
      <c r="G3655" s="126">
        <f>C3655-D3655</f>
        <v>5.868749999999999</v>
      </c>
      <c r="H3655" s="125">
        <v>305</v>
      </c>
      <c r="I3655" s="125" t="s">
        <v>408</v>
      </c>
    </row>
    <row r="3656" spans="1:9" ht="12.75">
      <c r="A3656" s="5"/>
      <c r="B3656" s="5"/>
      <c r="C3656" s="5"/>
      <c r="D3656" s="5"/>
      <c r="E3656" s="125" t="s">
        <v>14</v>
      </c>
      <c r="F3656" s="127">
        <f>AVERAGE(F3652:F3655)</f>
        <v>0.126605116612992</v>
      </c>
      <c r="G3656" s="126">
        <f>AVERAGE(G3652:G3655)</f>
        <v>5.109374999999999</v>
      </c>
      <c r="H3656" s="5"/>
      <c r="I3656" s="5"/>
    </row>
    <row r="3658" ht="12.75">
      <c r="A3658" s="120" t="s">
        <v>413</v>
      </c>
    </row>
    <row r="3659" spans="1:9" ht="12.75">
      <c r="A3659" s="120" t="s">
        <v>0</v>
      </c>
      <c r="B3659" s="120" t="s">
        <v>1</v>
      </c>
      <c r="C3659" s="121" t="s">
        <v>426</v>
      </c>
      <c r="D3659" s="121" t="s">
        <v>423</v>
      </c>
      <c r="E3659" s="121" t="s">
        <v>424</v>
      </c>
      <c r="F3659" s="121" t="s">
        <v>5</v>
      </c>
      <c r="G3659" s="121" t="s">
        <v>6</v>
      </c>
      <c r="H3659" s="121" t="s">
        <v>7</v>
      </c>
      <c r="I3659" s="121" t="s">
        <v>8</v>
      </c>
    </row>
    <row r="3660" spans="1:9" ht="12.75">
      <c r="A3660" s="120" t="s">
        <v>417</v>
      </c>
      <c r="B3660" s="120" t="s">
        <v>407</v>
      </c>
      <c r="C3660" s="122">
        <f>(32.6/27)^1.65*E3660</f>
        <v>27.158883093705562</v>
      </c>
      <c r="D3660" s="121">
        <v>28</v>
      </c>
      <c r="E3660" s="121">
        <v>19.9</v>
      </c>
      <c r="F3660" s="123">
        <f>-((D3660-C3660)/D3660)</f>
        <v>-0.030039889510515647</v>
      </c>
      <c r="G3660" s="122">
        <f>C3660-D3660</f>
        <v>-0.8411169062944381</v>
      </c>
      <c r="H3660" s="121">
        <v>305</v>
      </c>
      <c r="I3660" s="121" t="s">
        <v>408</v>
      </c>
    </row>
    <row r="3661" spans="1:9" ht="12.75">
      <c r="A3661" s="124" t="s">
        <v>409</v>
      </c>
      <c r="B3661" s="120" t="s">
        <v>410</v>
      </c>
      <c r="C3661" s="122">
        <f>(32.6/27)^1.65*E3661</f>
        <v>33.300339069669135</v>
      </c>
      <c r="D3661" s="121">
        <v>33.3</v>
      </c>
      <c r="E3661" s="121">
        <v>24.4</v>
      </c>
      <c r="F3661" s="123">
        <f>-((D3661-C3661)/D3661)</f>
        <v>1.0182272346496262E-05</v>
      </c>
      <c r="G3661" s="122">
        <f>C3661-D3661</f>
        <v>0.0003390696691383255</v>
      </c>
      <c r="H3661" s="121">
        <v>305</v>
      </c>
      <c r="I3661" s="121" t="s">
        <v>408</v>
      </c>
    </row>
    <row r="3662" spans="1:9" ht="12.75">
      <c r="A3662" s="124"/>
      <c r="B3662" s="120" t="s">
        <v>411</v>
      </c>
      <c r="C3662" s="122">
        <f>(32.6/27)^1.65*E3662</f>
        <v>40.397132641893705</v>
      </c>
      <c r="D3662" s="121">
        <v>39.6</v>
      </c>
      <c r="E3662" s="121">
        <v>29.6</v>
      </c>
      <c r="F3662" s="123">
        <f>-((D3662-C3662)/D3662)</f>
        <v>0.020129612169032928</v>
      </c>
      <c r="G3662" s="122">
        <f>C3662-D3662</f>
        <v>0.7971326418937039</v>
      </c>
      <c r="H3662" s="121">
        <v>305</v>
      </c>
      <c r="I3662" s="121" t="s">
        <v>408</v>
      </c>
    </row>
    <row r="3663" spans="1:9" ht="12.75">
      <c r="A3663" s="124"/>
      <c r="B3663" s="120" t="s">
        <v>418</v>
      </c>
      <c r="C3663" s="122">
        <f>(32.6/27)^1.65*E3663</f>
        <v>37.53111985311071</v>
      </c>
      <c r="D3663" s="121">
        <v>37.1</v>
      </c>
      <c r="E3663" s="121">
        <v>27.5</v>
      </c>
      <c r="F3663" s="123">
        <f>-((D3663-C3663)/D3663)</f>
        <v>0.011620481215922051</v>
      </c>
      <c r="G3663" s="122">
        <f>C3663-D3663</f>
        <v>0.4311198531107081</v>
      </c>
      <c r="H3663" s="121">
        <v>305</v>
      </c>
      <c r="I3663" s="121" t="s">
        <v>408</v>
      </c>
    </row>
    <row r="3664" spans="5:7" ht="12.75">
      <c r="E3664" s="121" t="s">
        <v>14</v>
      </c>
      <c r="F3664" s="123">
        <f>AVERAGE(F3660:F3663)</f>
        <v>0.00043009653669645685</v>
      </c>
      <c r="G3664" s="122">
        <f>AVERAGE(G3660:G3663)</f>
        <v>0.09686866459477805</v>
      </c>
    </row>
    <row r="3666" spans="1:9" ht="12.75">
      <c r="A3666" s="124" t="s">
        <v>413</v>
      </c>
      <c r="B3666" s="5"/>
      <c r="C3666" s="5"/>
      <c r="D3666" s="5"/>
      <c r="E3666" s="5"/>
      <c r="F3666" s="5"/>
      <c r="G3666" s="5"/>
      <c r="H3666" s="5"/>
      <c r="I3666" s="5"/>
    </row>
    <row r="3667" spans="1:9" ht="12.75">
      <c r="A3667" s="124" t="s">
        <v>0</v>
      </c>
      <c r="B3667" s="124" t="s">
        <v>1</v>
      </c>
      <c r="C3667" s="125" t="s">
        <v>415</v>
      </c>
      <c r="D3667" s="125" t="s">
        <v>423</v>
      </c>
      <c r="E3667" s="125" t="s">
        <v>424</v>
      </c>
      <c r="F3667" s="125" t="s">
        <v>5</v>
      </c>
      <c r="G3667" s="125" t="s">
        <v>6</v>
      </c>
      <c r="H3667" s="125" t="s">
        <v>7</v>
      </c>
      <c r="I3667" s="125" t="s">
        <v>8</v>
      </c>
    </row>
    <row r="3668" spans="1:9" ht="12.75">
      <c r="A3668" s="124" t="s">
        <v>417</v>
      </c>
      <c r="B3668" s="124" t="s">
        <v>407</v>
      </c>
      <c r="C3668" s="126">
        <f>(32.6/27)^2*E3668</f>
        <v>29.01086968449932</v>
      </c>
      <c r="D3668" s="125">
        <v>28</v>
      </c>
      <c r="E3668" s="125">
        <v>19.9</v>
      </c>
      <c r="F3668" s="127">
        <f>-((D3668-C3668)/D3668)</f>
        <v>0.036102488732118534</v>
      </c>
      <c r="G3668" s="126">
        <f>C3668-D3668</f>
        <v>1.010869684499319</v>
      </c>
      <c r="H3668" s="125">
        <v>305</v>
      </c>
      <c r="I3668" s="125" t="s">
        <v>408</v>
      </c>
    </row>
    <row r="3669" spans="1:9" ht="12.75">
      <c r="A3669" s="124" t="s">
        <v>409</v>
      </c>
      <c r="B3669" s="124" t="s">
        <v>410</v>
      </c>
      <c r="C3669" s="126">
        <f>(31.8/26.5)^2*E3669</f>
        <v>35.135999999999996</v>
      </c>
      <c r="D3669" s="125">
        <v>33.3</v>
      </c>
      <c r="E3669" s="125">
        <v>24.4</v>
      </c>
      <c r="F3669" s="127">
        <f>-((D3669-C3669)/D3669)</f>
        <v>0.05513513513513509</v>
      </c>
      <c r="G3669" s="126">
        <f>C3669-D3669</f>
        <v>1.8359999999999985</v>
      </c>
      <c r="H3669" s="125">
        <v>305</v>
      </c>
      <c r="I3669" s="125" t="s">
        <v>408</v>
      </c>
    </row>
    <row r="3670" spans="1:9" ht="12.75">
      <c r="A3670" s="124"/>
      <c r="B3670" s="124" t="s">
        <v>411</v>
      </c>
      <c r="C3670" s="126">
        <f>(30.9/25.9)^2*E3670</f>
        <v>42.131715388858254</v>
      </c>
      <c r="D3670" s="125">
        <v>39.6</v>
      </c>
      <c r="E3670" s="125">
        <v>29.6</v>
      </c>
      <c r="F3670" s="127">
        <f>-((D3670-C3670)/D3670)</f>
        <v>0.06393220678934981</v>
      </c>
      <c r="G3670" s="126">
        <f>C3670-D3670</f>
        <v>2.5317153888582524</v>
      </c>
      <c r="H3670" s="125">
        <v>305</v>
      </c>
      <c r="I3670" s="125" t="s">
        <v>408</v>
      </c>
    </row>
    <row r="3671" spans="1:9" ht="12.75">
      <c r="A3671" s="124"/>
      <c r="B3671" s="124" t="s">
        <v>418</v>
      </c>
      <c r="C3671" s="126">
        <f>(31.2/26.2)^2*E3671</f>
        <v>38.99772740516287</v>
      </c>
      <c r="D3671" s="125">
        <v>37.1</v>
      </c>
      <c r="E3671" s="125">
        <v>27.5</v>
      </c>
      <c r="F3671" s="127">
        <f>-((D3671-C3671)/D3671)</f>
        <v>0.05115168207986168</v>
      </c>
      <c r="G3671" s="126">
        <f>C3671-D3671</f>
        <v>1.8977274051628683</v>
      </c>
      <c r="H3671" s="125">
        <v>305</v>
      </c>
      <c r="I3671" s="125" t="s">
        <v>408</v>
      </c>
    </row>
    <row r="3672" spans="1:9" ht="12.75">
      <c r="A3672" s="5"/>
      <c r="B3672" s="5"/>
      <c r="C3672" s="5"/>
      <c r="D3672" s="5"/>
      <c r="E3672" s="125" t="s">
        <v>14</v>
      </c>
      <c r="F3672" s="127">
        <f>AVERAGE(F3668:F3671)</f>
        <v>0.051580378184116274</v>
      </c>
      <c r="G3672" s="126">
        <f>AVERAGE(G3668:G3671)</f>
        <v>1.8190781196301096</v>
      </c>
      <c r="H3672" s="5"/>
      <c r="I3672" s="5"/>
    </row>
    <row r="3677" spans="5:6" ht="12.75">
      <c r="E3677" s="109">
        <v>53.62</v>
      </c>
      <c r="F3677">
        <v>51.2</v>
      </c>
    </row>
    <row r="3678" spans="6:7" ht="12.75">
      <c r="F3678">
        <v>44.4</v>
      </c>
      <c r="G3678" s="19">
        <f>F3678*F3679</f>
        <v>53.109315502664806</v>
      </c>
    </row>
    <row r="3679" ht="12.75">
      <c r="F3679" s="19">
        <f>(10/9)^1.7</f>
        <v>1.1961557545645227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="110" zoomScaleNormal="110" workbookViewId="0" topLeftCell="A1">
      <selection activeCell="D1" sqref="D1"/>
    </sheetView>
  </sheetViews>
  <sheetFormatPr defaultColWidth="12.5742187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8515625" style="0" customWidth="1"/>
    <col min="5" max="5" width="13.421875" style="0" customWidth="1"/>
    <col min="6" max="6" width="4.8515625" style="0" customWidth="1"/>
    <col min="7" max="7" width="5.28125" style="0" customWidth="1"/>
    <col min="8" max="16384" width="11.57421875" style="0" customWidth="1"/>
  </cols>
  <sheetData>
    <row r="1" spans="1:7" ht="12.75">
      <c r="A1" s="1" t="s">
        <v>0</v>
      </c>
      <c r="B1" s="2" t="s">
        <v>427</v>
      </c>
      <c r="C1" s="2" t="s">
        <v>428</v>
      </c>
      <c r="D1" s="2" t="s">
        <v>429</v>
      </c>
      <c r="E1" s="2" t="s">
        <v>430</v>
      </c>
      <c r="F1" s="2" t="s">
        <v>8</v>
      </c>
      <c r="G1" s="2" t="s">
        <v>7</v>
      </c>
    </row>
    <row r="2" spans="1:7" ht="12.75">
      <c r="A2" s="1" t="s">
        <v>9</v>
      </c>
      <c r="B2" s="2">
        <v>1.5</v>
      </c>
      <c r="C2" s="4">
        <v>0</v>
      </c>
      <c r="D2" s="4">
        <v>0.2257</v>
      </c>
      <c r="E2" s="2" t="s">
        <v>431</v>
      </c>
      <c r="F2" s="2">
        <v>22.4</v>
      </c>
      <c r="G2" s="2">
        <v>1960</v>
      </c>
    </row>
    <row r="3" spans="1:7" ht="12.75">
      <c r="A3" s="1" t="s">
        <v>17</v>
      </c>
      <c r="B3" s="2">
        <v>1.47</v>
      </c>
      <c r="C3" s="4">
        <v>0.00030000000000000003</v>
      </c>
      <c r="D3" s="4">
        <v>0.2401</v>
      </c>
      <c r="E3" s="2" t="s">
        <v>431</v>
      </c>
      <c r="F3" s="2">
        <v>22.5</v>
      </c>
      <c r="G3" s="2">
        <v>1750</v>
      </c>
    </row>
    <row r="4" spans="1:7" ht="12.75">
      <c r="A4" s="1" t="s">
        <v>24</v>
      </c>
      <c r="B4" s="2">
        <v>1.34</v>
      </c>
      <c r="C4" s="4">
        <v>0.0006000000000000001</v>
      </c>
      <c r="D4" s="4">
        <v>0.30760000000000004</v>
      </c>
      <c r="E4" s="2" t="s">
        <v>431</v>
      </c>
      <c r="F4" s="2">
        <v>22.5</v>
      </c>
      <c r="G4" s="2">
        <v>1080</v>
      </c>
    </row>
    <row r="5" spans="1:7" ht="12.75">
      <c r="A5" s="1" t="s">
        <v>30</v>
      </c>
      <c r="B5" s="2">
        <v>1.27</v>
      </c>
      <c r="C5" s="4">
        <v>0.001</v>
      </c>
      <c r="D5" s="4">
        <v>0.33590000000000003</v>
      </c>
      <c r="E5" s="2" t="s">
        <v>431</v>
      </c>
      <c r="F5" s="2">
        <v>35.4</v>
      </c>
      <c r="G5" s="2">
        <v>1900</v>
      </c>
    </row>
    <row r="6" spans="1:7" ht="12.75">
      <c r="A6" s="1" t="s">
        <v>34</v>
      </c>
      <c r="B6" s="2">
        <v>1.24</v>
      </c>
      <c r="C6" s="4">
        <v>0.0027</v>
      </c>
      <c r="D6" s="4">
        <v>0.36460000000000004</v>
      </c>
      <c r="E6" s="2" t="s">
        <v>431</v>
      </c>
      <c r="F6" s="2">
        <v>35.4</v>
      </c>
      <c r="G6" s="2">
        <v>1585</v>
      </c>
    </row>
    <row r="7" spans="1:7" ht="12.75">
      <c r="A7" s="1" t="s">
        <v>38</v>
      </c>
      <c r="B7" s="2">
        <v>1.29</v>
      </c>
      <c r="C7" s="4">
        <v>0.0031000000000000003</v>
      </c>
      <c r="D7" s="4">
        <v>0.33770000000000006</v>
      </c>
      <c r="E7" s="2" t="s">
        <v>431</v>
      </c>
      <c r="F7" s="2">
        <v>35.4</v>
      </c>
      <c r="G7" s="2">
        <v>1490</v>
      </c>
    </row>
    <row r="8" spans="1:7" ht="12.75">
      <c r="A8" s="1" t="s">
        <v>43</v>
      </c>
      <c r="B8" s="2">
        <v>1.34</v>
      </c>
      <c r="C8" s="4">
        <v>0.0025</v>
      </c>
      <c r="D8" s="4">
        <v>0.3102</v>
      </c>
      <c r="E8" s="2" t="s">
        <v>431</v>
      </c>
      <c r="F8" s="2">
        <v>45</v>
      </c>
      <c r="G8" s="2">
        <v>1280</v>
      </c>
    </row>
    <row r="9" spans="1:7" ht="12.75">
      <c r="A9" s="1" t="s">
        <v>54</v>
      </c>
      <c r="B9" s="2">
        <v>1.27</v>
      </c>
      <c r="C9" s="4">
        <v>0.0012000000000000001</v>
      </c>
      <c r="D9" s="4">
        <v>0.34600000000000003</v>
      </c>
      <c r="E9" s="2" t="s">
        <v>431</v>
      </c>
      <c r="F9" s="2">
        <v>45</v>
      </c>
      <c r="G9" s="2">
        <v>1100</v>
      </c>
    </row>
    <row r="10" spans="1:7" ht="12.75">
      <c r="A10" s="1" t="s">
        <v>62</v>
      </c>
      <c r="B10" s="2">
        <v>1.49</v>
      </c>
      <c r="C10" s="4">
        <v>0.0025</v>
      </c>
      <c r="D10" s="4">
        <v>0.2328</v>
      </c>
      <c r="E10" s="2" t="s">
        <v>431</v>
      </c>
      <c r="F10" s="2">
        <v>46.5</v>
      </c>
      <c r="G10" s="2">
        <v>2000</v>
      </c>
    </row>
    <row r="11" spans="1:7" ht="12.75">
      <c r="A11" s="1" t="s">
        <v>65</v>
      </c>
      <c r="B11" s="2">
        <v>1.46</v>
      </c>
      <c r="C11" s="4">
        <v>0.0031000000000000003</v>
      </c>
      <c r="D11" s="4">
        <v>0.2486</v>
      </c>
      <c r="E11" s="2" t="s">
        <v>431</v>
      </c>
      <c r="F11" s="2">
        <v>46.5</v>
      </c>
      <c r="G11" s="2">
        <v>1550</v>
      </c>
    </row>
    <row r="12" spans="1:7" ht="12.75">
      <c r="A12" s="1" t="s">
        <v>69</v>
      </c>
      <c r="B12" s="2">
        <v>1.35</v>
      </c>
      <c r="C12" s="4">
        <v>0.0018000000000000002</v>
      </c>
      <c r="D12" s="4">
        <v>0.3038</v>
      </c>
      <c r="E12" s="2" t="s">
        <v>431</v>
      </c>
      <c r="F12" s="2">
        <v>47</v>
      </c>
      <c r="G12" s="2">
        <v>1180</v>
      </c>
    </row>
    <row r="13" spans="1:7" ht="12.75">
      <c r="A13" s="20" t="s">
        <v>69</v>
      </c>
      <c r="B13" s="16">
        <v>1.43</v>
      </c>
      <c r="C13" s="22">
        <v>0.0005</v>
      </c>
      <c r="D13" s="22">
        <v>0.1788</v>
      </c>
      <c r="E13" s="16" t="s">
        <v>432</v>
      </c>
      <c r="F13" s="16">
        <v>47</v>
      </c>
      <c r="G13" s="16">
        <v>1180</v>
      </c>
    </row>
    <row r="14" spans="1:7" ht="12.75">
      <c r="A14" s="1" t="s">
        <v>76</v>
      </c>
      <c r="B14" s="2">
        <v>1.38</v>
      </c>
      <c r="C14" s="4">
        <v>0.0015</v>
      </c>
      <c r="D14" s="4">
        <v>0.2878</v>
      </c>
      <c r="E14" s="2" t="s">
        <v>431</v>
      </c>
      <c r="F14" s="2">
        <v>58</v>
      </c>
      <c r="G14" s="2">
        <v>1850</v>
      </c>
    </row>
    <row r="15" spans="1:7" ht="12.75">
      <c r="A15" s="1" t="s">
        <v>79</v>
      </c>
      <c r="B15" s="2">
        <v>1.42</v>
      </c>
      <c r="C15" s="4">
        <v>0.0014</v>
      </c>
      <c r="D15" s="4">
        <v>0.2669</v>
      </c>
      <c r="E15" s="2" t="s">
        <v>431</v>
      </c>
      <c r="F15" s="2">
        <v>58</v>
      </c>
      <c r="G15" s="2">
        <v>1170</v>
      </c>
    </row>
    <row r="16" spans="1:7" ht="12.75">
      <c r="A16" s="1" t="s">
        <v>85</v>
      </c>
      <c r="B16" s="2">
        <v>1.47</v>
      </c>
      <c r="C16" s="4">
        <v>0.0014</v>
      </c>
      <c r="D16" s="4">
        <v>0.2414</v>
      </c>
      <c r="E16" s="2" t="s">
        <v>431</v>
      </c>
      <c r="F16" s="2">
        <v>58</v>
      </c>
      <c r="G16" s="2">
        <v>960</v>
      </c>
    </row>
    <row r="17" spans="1:7" ht="12.75">
      <c r="A17" s="20" t="s">
        <v>85</v>
      </c>
      <c r="B17" s="16">
        <v>1.46</v>
      </c>
      <c r="C17" s="22">
        <v>0.0006000000000000001</v>
      </c>
      <c r="D17" s="22">
        <v>0.16879999999999998</v>
      </c>
      <c r="E17" s="16" t="s">
        <v>432</v>
      </c>
      <c r="F17" s="16">
        <v>58</v>
      </c>
      <c r="G17" s="16">
        <v>960</v>
      </c>
    </row>
    <row r="18" spans="1:7" ht="12.75">
      <c r="A18" s="1" t="s">
        <v>90</v>
      </c>
      <c r="B18" s="2">
        <v>1.32</v>
      </c>
      <c r="C18" s="4">
        <v>0.0023</v>
      </c>
      <c r="D18" s="4">
        <v>0.32049999999999995</v>
      </c>
      <c r="E18" s="2" t="s">
        <v>431</v>
      </c>
      <c r="F18" s="2">
        <v>58</v>
      </c>
      <c r="G18" s="2">
        <v>885</v>
      </c>
    </row>
    <row r="19" spans="1:7" ht="12.75">
      <c r="A19" s="20" t="s">
        <v>90</v>
      </c>
      <c r="B19" s="16">
        <v>1.37</v>
      </c>
      <c r="C19" s="22">
        <v>0.0015</v>
      </c>
      <c r="D19" s="22">
        <v>0.2005</v>
      </c>
      <c r="E19" s="16" t="s">
        <v>432</v>
      </c>
      <c r="F19" s="16">
        <v>58</v>
      </c>
      <c r="G19" s="16">
        <v>885</v>
      </c>
    </row>
    <row r="20" spans="1:7" ht="12.75">
      <c r="A20" s="1" t="s">
        <v>111</v>
      </c>
      <c r="B20" s="2">
        <v>1.52</v>
      </c>
      <c r="C20" s="4">
        <v>0.0029000000000000002</v>
      </c>
      <c r="D20" s="4">
        <v>0.2184</v>
      </c>
      <c r="E20" s="2" t="s">
        <v>431</v>
      </c>
      <c r="F20" s="2">
        <v>60</v>
      </c>
      <c r="G20" s="2">
        <v>2000</v>
      </c>
    </row>
    <row r="21" spans="1:7" ht="12.75">
      <c r="A21" s="20" t="s">
        <v>111</v>
      </c>
      <c r="B21" s="16">
        <v>1.56</v>
      </c>
      <c r="C21" s="22">
        <v>-1E-06</v>
      </c>
      <c r="D21" s="22">
        <v>0.1348</v>
      </c>
      <c r="E21" s="16" t="s">
        <v>432</v>
      </c>
      <c r="F21" s="16">
        <v>60</v>
      </c>
      <c r="G21" s="16">
        <v>2000</v>
      </c>
    </row>
    <row r="22" spans="1:7" ht="12.75">
      <c r="A22" s="1" t="s">
        <v>116</v>
      </c>
      <c r="B22" s="2">
        <v>1.27</v>
      </c>
      <c r="C22" s="4">
        <v>0.0028</v>
      </c>
      <c r="D22" s="4">
        <v>0.3483</v>
      </c>
      <c r="E22" s="2" t="s">
        <v>431</v>
      </c>
      <c r="F22" s="2">
        <v>61</v>
      </c>
      <c r="G22" s="2">
        <v>1350</v>
      </c>
    </row>
    <row r="23" spans="1:7" ht="12.75">
      <c r="A23" s="20" t="s">
        <v>116</v>
      </c>
      <c r="B23" s="16">
        <v>1.62</v>
      </c>
      <c r="C23" s="22">
        <v>0.0022</v>
      </c>
      <c r="D23" s="22">
        <v>0.11800000000000001</v>
      </c>
      <c r="E23" s="16" t="s">
        <v>432</v>
      </c>
      <c r="F23" s="16">
        <v>61</v>
      </c>
      <c r="G23" s="16">
        <v>1350</v>
      </c>
    </row>
    <row r="24" spans="1:7" ht="12.75">
      <c r="A24" s="1" t="s">
        <v>119</v>
      </c>
      <c r="B24" s="2">
        <v>1.38</v>
      </c>
      <c r="C24" s="4">
        <v>0.0023</v>
      </c>
      <c r="D24" s="4">
        <v>0.2887</v>
      </c>
      <c r="E24" s="2" t="s">
        <v>431</v>
      </c>
      <c r="F24" s="2">
        <v>60</v>
      </c>
      <c r="G24" s="2">
        <v>1100</v>
      </c>
    </row>
    <row r="25" spans="1:7" ht="12.75">
      <c r="A25" s="1" t="s">
        <v>121</v>
      </c>
      <c r="B25" s="2">
        <v>1.36</v>
      </c>
      <c r="C25" s="4">
        <v>0.0032</v>
      </c>
      <c r="D25" s="4">
        <v>0.3004</v>
      </c>
      <c r="E25" s="2" t="s">
        <v>431</v>
      </c>
      <c r="F25" s="2">
        <v>61</v>
      </c>
      <c r="G25" s="2">
        <v>950</v>
      </c>
    </row>
    <row r="26" spans="1:7" ht="12.75">
      <c r="A26" s="20" t="s">
        <v>121</v>
      </c>
      <c r="B26" s="16">
        <v>1.44</v>
      </c>
      <c r="C26" s="22">
        <v>0.0006000000000000001</v>
      </c>
      <c r="D26" s="22">
        <v>0.17550000000000002</v>
      </c>
      <c r="E26" s="16" t="s">
        <v>432</v>
      </c>
      <c r="F26" s="16">
        <v>61</v>
      </c>
      <c r="G26" s="16">
        <v>950</v>
      </c>
    </row>
    <row r="27" spans="1:7" ht="12.75">
      <c r="A27" s="1" t="s">
        <v>124</v>
      </c>
      <c r="B27" s="2">
        <v>1.49</v>
      </c>
      <c r="C27" s="4">
        <v>0.0028</v>
      </c>
      <c r="D27" s="4">
        <v>0.2332</v>
      </c>
      <c r="E27" s="2" t="s">
        <v>431</v>
      </c>
      <c r="F27" s="2">
        <v>68.8</v>
      </c>
      <c r="G27" s="2">
        <v>1810</v>
      </c>
    </row>
    <row r="28" spans="1:7" ht="12.75">
      <c r="A28" s="1" t="s">
        <v>126</v>
      </c>
      <c r="B28" s="2">
        <v>1.35</v>
      </c>
      <c r="C28" s="4">
        <v>0.0013000000000000002</v>
      </c>
      <c r="D28" s="4">
        <v>0.3032</v>
      </c>
      <c r="E28" s="2" t="s">
        <v>431</v>
      </c>
      <c r="F28" s="2">
        <v>68.8</v>
      </c>
      <c r="G28" s="2">
        <v>1127</v>
      </c>
    </row>
    <row r="29" spans="1:7" ht="12.75">
      <c r="A29" s="1" t="s">
        <v>129</v>
      </c>
      <c r="B29" s="2">
        <v>1.43</v>
      </c>
      <c r="C29" s="4">
        <v>1E-05</v>
      </c>
      <c r="D29" s="4">
        <v>0.2613</v>
      </c>
      <c r="E29" s="2" t="s">
        <v>431</v>
      </c>
      <c r="F29" s="2">
        <v>68.8</v>
      </c>
      <c r="G29" s="2">
        <v>900</v>
      </c>
    </row>
    <row r="30" spans="1:7" ht="12.75">
      <c r="A30" s="20" t="s">
        <v>129</v>
      </c>
      <c r="B30" s="16">
        <v>1.45</v>
      </c>
      <c r="C30" s="22">
        <v>0.0007</v>
      </c>
      <c r="D30" s="22">
        <v>0.0682</v>
      </c>
      <c r="E30" s="16" t="s">
        <v>432</v>
      </c>
      <c r="F30" s="16">
        <v>68.8</v>
      </c>
      <c r="G30" s="16">
        <v>900</v>
      </c>
    </row>
    <row r="31" spans="1:7" ht="12.75">
      <c r="A31" s="1" t="s">
        <v>136</v>
      </c>
      <c r="B31" s="2">
        <v>1.63</v>
      </c>
      <c r="C31" s="4">
        <v>0.0014</v>
      </c>
      <c r="D31" s="4">
        <v>0.1635</v>
      </c>
      <c r="E31" s="2" t="s">
        <v>431</v>
      </c>
      <c r="F31" s="2">
        <v>74</v>
      </c>
      <c r="G31" s="2">
        <v>2300</v>
      </c>
    </row>
    <row r="32" spans="1:7" ht="12.75">
      <c r="A32" s="20" t="s">
        <v>136</v>
      </c>
      <c r="B32" s="16">
        <v>1.55</v>
      </c>
      <c r="C32" s="22">
        <v>0.0005</v>
      </c>
      <c r="D32" s="22">
        <v>0.1388</v>
      </c>
      <c r="E32" s="16" t="s">
        <v>432</v>
      </c>
      <c r="F32" s="16">
        <v>74</v>
      </c>
      <c r="G32" s="16">
        <v>2300</v>
      </c>
    </row>
    <row r="33" spans="1:7" ht="12.75">
      <c r="A33" s="1" t="s">
        <v>140</v>
      </c>
      <c r="B33" s="2">
        <v>1.51</v>
      </c>
      <c r="C33" s="4">
        <v>0.0037</v>
      </c>
      <c r="D33" s="4">
        <v>0.2243</v>
      </c>
      <c r="E33" s="2" t="s">
        <v>431</v>
      </c>
      <c r="F33" s="2">
        <v>74</v>
      </c>
      <c r="G33" s="2">
        <v>1550</v>
      </c>
    </row>
    <row r="34" spans="1:7" ht="12.75">
      <c r="A34" s="20" t="s">
        <v>140</v>
      </c>
      <c r="B34" s="16">
        <v>1.6</v>
      </c>
      <c r="C34" s="22">
        <v>0.0008</v>
      </c>
      <c r="D34" s="22">
        <v>0.1229</v>
      </c>
      <c r="E34" s="16" t="s">
        <v>432</v>
      </c>
      <c r="F34" s="16">
        <v>74</v>
      </c>
      <c r="G34" s="16">
        <v>1550</v>
      </c>
    </row>
    <row r="35" spans="1:7" ht="12.75">
      <c r="A35" s="1" t="s">
        <v>143</v>
      </c>
      <c r="B35" s="2">
        <v>1.41</v>
      </c>
      <c r="C35" s="4">
        <v>0.0029000000000000002</v>
      </c>
      <c r="D35" s="4">
        <v>0.27399999999999997</v>
      </c>
      <c r="E35" s="2" t="s">
        <v>431</v>
      </c>
      <c r="F35" s="2">
        <v>73</v>
      </c>
      <c r="G35" s="2">
        <v>1180</v>
      </c>
    </row>
    <row r="36" spans="1:7" ht="12.75">
      <c r="A36" s="20" t="s">
        <v>143</v>
      </c>
      <c r="B36" s="16">
        <v>1.5</v>
      </c>
      <c r="C36" s="22">
        <v>0.0008</v>
      </c>
      <c r="D36" s="22">
        <v>0.15560000000000002</v>
      </c>
      <c r="E36" s="16" t="s">
        <v>432</v>
      </c>
      <c r="F36" s="16">
        <v>73</v>
      </c>
      <c r="G36" s="16">
        <v>1180</v>
      </c>
    </row>
    <row r="37" spans="1:7" ht="12.75">
      <c r="A37" s="1" t="s">
        <v>147</v>
      </c>
      <c r="B37" s="2">
        <v>1.45</v>
      </c>
      <c r="C37" s="4">
        <v>0.0012000000000000001</v>
      </c>
      <c r="D37" s="4">
        <v>0.25129999999999997</v>
      </c>
      <c r="E37" s="2" t="s">
        <v>431</v>
      </c>
      <c r="F37" s="2">
        <v>72</v>
      </c>
      <c r="G37" s="2">
        <v>960</v>
      </c>
    </row>
    <row r="38" spans="1:7" ht="12.75">
      <c r="A38" s="59" t="s">
        <v>154</v>
      </c>
      <c r="B38" s="60">
        <v>1.5</v>
      </c>
      <c r="C38" s="63">
        <v>0</v>
      </c>
      <c r="D38" s="63">
        <v>0.0616</v>
      </c>
      <c r="E38" s="60" t="s">
        <v>433</v>
      </c>
      <c r="F38" s="60">
        <v>76</v>
      </c>
      <c r="G38" s="60">
        <v>1490</v>
      </c>
    </row>
    <row r="39" spans="1:7" ht="12.75">
      <c r="A39" s="41" t="s">
        <v>154</v>
      </c>
      <c r="B39" s="42">
        <v>1.51</v>
      </c>
      <c r="C39" s="44">
        <v>0.0015</v>
      </c>
      <c r="D39" s="44">
        <v>0.099</v>
      </c>
      <c r="E39" s="128" t="s">
        <v>434</v>
      </c>
      <c r="F39" s="42">
        <v>76</v>
      </c>
      <c r="G39" s="42">
        <v>1490</v>
      </c>
    </row>
    <row r="40" spans="1:7" ht="12.75">
      <c r="A40" s="20" t="s">
        <v>172</v>
      </c>
      <c r="B40" s="16">
        <v>1.66</v>
      </c>
      <c r="C40" s="22">
        <v>0.0001</v>
      </c>
      <c r="D40" s="22">
        <v>0.10279999999999999</v>
      </c>
      <c r="E40" s="16" t="s">
        <v>432</v>
      </c>
      <c r="F40" s="16">
        <v>80.5</v>
      </c>
      <c r="G40" s="16">
        <v>1330</v>
      </c>
    </row>
    <row r="41" spans="1:7" ht="12.75">
      <c r="A41" s="20" t="s">
        <v>174</v>
      </c>
      <c r="B41" s="16">
        <v>1.6</v>
      </c>
      <c r="C41" s="22">
        <v>0.0008</v>
      </c>
      <c r="D41" s="22">
        <v>0.1229</v>
      </c>
      <c r="E41" s="16" t="s">
        <v>432</v>
      </c>
      <c r="F41" s="16">
        <v>80.5</v>
      </c>
      <c r="G41" s="16">
        <v>1130</v>
      </c>
    </row>
    <row r="42" spans="1:7" ht="12.75">
      <c r="A42" s="20" t="s">
        <v>176</v>
      </c>
      <c r="B42" s="16">
        <v>1.52</v>
      </c>
      <c r="C42" s="22">
        <v>0.0008</v>
      </c>
      <c r="D42" s="22">
        <v>0.149</v>
      </c>
      <c r="E42" s="16" t="s">
        <v>432</v>
      </c>
      <c r="F42" s="16">
        <v>80.5</v>
      </c>
      <c r="G42" s="16">
        <v>1000</v>
      </c>
    </row>
    <row r="43" spans="1:7" ht="12.75">
      <c r="A43" s="1" t="s">
        <v>178</v>
      </c>
      <c r="B43" s="2">
        <v>1.54</v>
      </c>
      <c r="C43" s="4">
        <v>0.0021000000000000003</v>
      </c>
      <c r="D43" s="4">
        <v>0.2075</v>
      </c>
      <c r="E43" s="2" t="s">
        <v>431</v>
      </c>
      <c r="F43" s="2">
        <v>88</v>
      </c>
      <c r="G43" s="2">
        <v>1860</v>
      </c>
    </row>
    <row r="44" spans="1:7" ht="12.75">
      <c r="A44" s="20" t="s">
        <v>178</v>
      </c>
      <c r="B44" s="16">
        <v>1.58</v>
      </c>
      <c r="C44" s="22">
        <v>0.0001</v>
      </c>
      <c r="D44" s="22">
        <v>0.1285</v>
      </c>
      <c r="E44" s="16" t="s">
        <v>432</v>
      </c>
      <c r="F44" s="16">
        <v>88</v>
      </c>
      <c r="G44" s="16">
        <v>1860</v>
      </c>
    </row>
    <row r="45" spans="1:7" ht="12.75">
      <c r="A45" s="20" t="s">
        <v>182</v>
      </c>
      <c r="B45" s="16">
        <v>1.65</v>
      </c>
      <c r="C45" s="22">
        <v>0.0027</v>
      </c>
      <c r="D45" s="22">
        <v>0.109</v>
      </c>
      <c r="E45" s="16" t="s">
        <v>432</v>
      </c>
      <c r="F45" s="16">
        <v>88</v>
      </c>
      <c r="G45" s="16">
        <v>1500</v>
      </c>
    </row>
    <row r="46" spans="1:7" ht="12.75">
      <c r="A46" s="20" t="s">
        <v>185</v>
      </c>
      <c r="B46" s="16">
        <v>1.33</v>
      </c>
      <c r="C46" s="22">
        <v>0.0025</v>
      </c>
      <c r="D46" s="22">
        <v>0.21559999999999999</v>
      </c>
      <c r="E46" s="16" t="s">
        <v>432</v>
      </c>
      <c r="F46" s="16">
        <v>88</v>
      </c>
      <c r="G46" s="16">
        <v>1250</v>
      </c>
    </row>
    <row r="47" spans="1:7" ht="12.75">
      <c r="A47" s="20" t="s">
        <v>187</v>
      </c>
      <c r="B47" s="16">
        <v>1.47</v>
      </c>
      <c r="C47" s="22">
        <v>0.0005</v>
      </c>
      <c r="D47" s="22">
        <v>0.16519999999999999</v>
      </c>
      <c r="E47" s="16" t="s">
        <v>432</v>
      </c>
      <c r="F47" s="16">
        <v>88</v>
      </c>
      <c r="G47" s="16">
        <v>940</v>
      </c>
    </row>
    <row r="48" spans="1:7" ht="12.75">
      <c r="A48" s="20" t="s">
        <v>189</v>
      </c>
      <c r="B48" s="16">
        <v>1.61</v>
      </c>
      <c r="C48" s="22">
        <v>0.0026000000000000003</v>
      </c>
      <c r="D48" s="22">
        <v>0.1216</v>
      </c>
      <c r="E48" s="16" t="s">
        <v>432</v>
      </c>
      <c r="F48" s="16">
        <v>95</v>
      </c>
      <c r="G48" s="16">
        <v>1220</v>
      </c>
    </row>
    <row r="49" spans="1:7" ht="12.75">
      <c r="A49" s="20" t="s">
        <v>191</v>
      </c>
      <c r="B49" s="16">
        <v>1.65</v>
      </c>
      <c r="C49" s="22">
        <v>0.0018000000000000002</v>
      </c>
      <c r="D49" s="22">
        <v>0.1079</v>
      </c>
      <c r="E49" s="22" t="s">
        <v>432</v>
      </c>
      <c r="F49" s="16">
        <v>95</v>
      </c>
      <c r="G49" s="16">
        <v>1090</v>
      </c>
    </row>
    <row r="50" spans="1:7" ht="12.75">
      <c r="A50" s="49" t="s">
        <v>195</v>
      </c>
      <c r="B50" s="50">
        <v>1.3</v>
      </c>
      <c r="C50" s="53">
        <v>0.0023</v>
      </c>
      <c r="D50" s="53">
        <v>0.1048</v>
      </c>
      <c r="E50" s="50" t="s">
        <v>435</v>
      </c>
      <c r="F50" s="50">
        <v>106</v>
      </c>
      <c r="G50" s="50">
        <v>1640</v>
      </c>
    </row>
    <row r="51" spans="1:7" ht="12.75">
      <c r="A51" s="59" t="s">
        <v>195</v>
      </c>
      <c r="B51" s="60">
        <v>1.2</v>
      </c>
      <c r="C51" s="63">
        <v>0.0079</v>
      </c>
      <c r="D51" s="63">
        <v>0.11</v>
      </c>
      <c r="E51" s="60" t="s">
        <v>433</v>
      </c>
      <c r="F51" s="60">
        <v>106</v>
      </c>
      <c r="G51" s="60">
        <v>1640</v>
      </c>
    </row>
    <row r="52" spans="1:7" ht="12.75">
      <c r="A52" s="129" t="s">
        <v>211</v>
      </c>
      <c r="B52" s="130">
        <v>1.86</v>
      </c>
      <c r="C52" s="131">
        <v>0.0024000000000000002</v>
      </c>
      <c r="D52" s="131">
        <v>0.0435</v>
      </c>
      <c r="E52" s="131" t="s">
        <v>432</v>
      </c>
      <c r="F52" s="16">
        <v>109</v>
      </c>
      <c r="G52" s="16">
        <v>1700</v>
      </c>
    </row>
    <row r="53" spans="1:7" ht="12.75">
      <c r="A53" s="129" t="s">
        <v>214</v>
      </c>
      <c r="B53" s="130">
        <v>1.8</v>
      </c>
      <c r="C53" s="131">
        <v>0.0031000000000000003</v>
      </c>
      <c r="D53" s="131">
        <v>0.0625</v>
      </c>
      <c r="E53" s="131" t="s">
        <v>432</v>
      </c>
      <c r="F53" s="16">
        <v>109</v>
      </c>
      <c r="G53" s="16">
        <v>1390</v>
      </c>
    </row>
    <row r="54" spans="1:7" ht="12.75">
      <c r="A54" s="129" t="s">
        <v>216</v>
      </c>
      <c r="B54" s="130">
        <v>1.7000000000000002</v>
      </c>
      <c r="C54" s="131">
        <v>0.00030000000000000003</v>
      </c>
      <c r="D54" s="131">
        <v>0.09050000000000001</v>
      </c>
      <c r="E54" s="131" t="s">
        <v>432</v>
      </c>
      <c r="F54" s="16">
        <v>109</v>
      </c>
      <c r="G54" s="16">
        <v>1050</v>
      </c>
    </row>
    <row r="55" spans="1:7" ht="12.75">
      <c r="A55" s="132" t="s">
        <v>216</v>
      </c>
      <c r="B55" s="133">
        <v>1.81</v>
      </c>
      <c r="C55" s="134">
        <v>0</v>
      </c>
      <c r="D55" s="134">
        <v>0.0433</v>
      </c>
      <c r="E55" s="133" t="s">
        <v>436</v>
      </c>
      <c r="F55" s="133">
        <v>109</v>
      </c>
      <c r="G55" s="133">
        <v>1050</v>
      </c>
    </row>
    <row r="56" spans="1:7" ht="12.75">
      <c r="A56" s="20" t="s">
        <v>220</v>
      </c>
      <c r="B56" s="16">
        <v>1.58</v>
      </c>
      <c r="C56" s="22">
        <v>0.0015</v>
      </c>
      <c r="D56" s="22">
        <v>0.1301</v>
      </c>
      <c r="E56" s="22" t="s">
        <v>432</v>
      </c>
      <c r="F56" s="16">
        <v>109</v>
      </c>
      <c r="G56" s="16">
        <v>850</v>
      </c>
    </row>
    <row r="57" spans="1:7" ht="12.75">
      <c r="A57" s="69" t="s">
        <v>220</v>
      </c>
      <c r="B57" s="133">
        <v>1.72</v>
      </c>
      <c r="C57" s="134">
        <v>0.0005</v>
      </c>
      <c r="D57" s="134">
        <v>0.065</v>
      </c>
      <c r="E57" s="133" t="s">
        <v>436</v>
      </c>
      <c r="F57" s="133">
        <v>109</v>
      </c>
      <c r="G57" s="133">
        <v>850</v>
      </c>
    </row>
    <row r="58" spans="1:7" ht="12.75">
      <c r="A58" s="20" t="s">
        <v>223</v>
      </c>
      <c r="B58" s="16">
        <v>1.82</v>
      </c>
      <c r="C58" s="22">
        <v>0.0024000000000000002</v>
      </c>
      <c r="D58" s="22">
        <v>0.0557</v>
      </c>
      <c r="E58" s="22" t="s">
        <v>432</v>
      </c>
      <c r="F58" s="16">
        <v>129</v>
      </c>
      <c r="G58" s="16">
        <v>1220</v>
      </c>
    </row>
    <row r="59" spans="1:7" ht="12.75">
      <c r="A59" s="20" t="s">
        <v>226</v>
      </c>
      <c r="B59" s="16">
        <v>1.81</v>
      </c>
      <c r="C59" s="22">
        <v>0.0013000000000000002</v>
      </c>
      <c r="D59" s="22">
        <v>0.0576</v>
      </c>
      <c r="E59" s="22" t="s">
        <v>432</v>
      </c>
      <c r="F59" s="16">
        <v>129</v>
      </c>
      <c r="G59" s="16">
        <v>1040</v>
      </c>
    </row>
    <row r="60" spans="1:7" ht="12.75">
      <c r="A60" s="20" t="s">
        <v>227</v>
      </c>
      <c r="B60" s="16">
        <v>1.82</v>
      </c>
      <c r="C60" s="22">
        <v>0.0019</v>
      </c>
      <c r="D60" s="22">
        <v>0.055099999999999996</v>
      </c>
      <c r="E60" s="22" t="s">
        <v>432</v>
      </c>
      <c r="F60" s="16">
        <v>129</v>
      </c>
      <c r="G60" s="16">
        <v>830</v>
      </c>
    </row>
    <row r="61" spans="1:7" ht="12.75">
      <c r="A61" s="20" t="s">
        <v>229</v>
      </c>
      <c r="B61" s="16">
        <v>1.78</v>
      </c>
      <c r="C61" s="22">
        <v>0.0019</v>
      </c>
      <c r="D61" s="22">
        <v>-0.0392</v>
      </c>
      <c r="E61" s="22" t="s">
        <v>432</v>
      </c>
      <c r="F61" s="16">
        <v>139</v>
      </c>
      <c r="G61" s="16">
        <v>1450</v>
      </c>
    </row>
    <row r="62" spans="1:7" ht="12.75">
      <c r="A62" s="69" t="s">
        <v>229</v>
      </c>
      <c r="B62" s="133">
        <v>1.96</v>
      </c>
      <c r="C62" s="134">
        <v>0.0015</v>
      </c>
      <c r="D62" s="134">
        <v>0.0105</v>
      </c>
      <c r="E62" s="133" t="s">
        <v>436</v>
      </c>
      <c r="F62" s="133">
        <v>139</v>
      </c>
      <c r="G62" s="133">
        <v>1450</v>
      </c>
    </row>
    <row r="63" spans="1:7" ht="12.75">
      <c r="A63" s="20" t="s">
        <v>233</v>
      </c>
      <c r="B63" s="16">
        <v>1.79</v>
      </c>
      <c r="C63" s="22">
        <v>0.0005</v>
      </c>
      <c r="D63" s="22">
        <v>0.06280000000000001</v>
      </c>
      <c r="E63" s="22" t="s">
        <v>432</v>
      </c>
      <c r="F63" s="16">
        <v>142</v>
      </c>
      <c r="G63" s="16">
        <v>1170</v>
      </c>
    </row>
    <row r="64" spans="1:7" ht="12.75">
      <c r="A64" s="69" t="s">
        <v>233</v>
      </c>
      <c r="B64" s="133">
        <v>1.82</v>
      </c>
      <c r="C64" s="134">
        <v>0.0005</v>
      </c>
      <c r="D64" s="134">
        <v>0.0415</v>
      </c>
      <c r="E64" s="133" t="s">
        <v>436</v>
      </c>
      <c r="F64" s="133">
        <v>142</v>
      </c>
      <c r="G64" s="133">
        <v>1170</v>
      </c>
    </row>
    <row r="65" spans="1:7" ht="12.75">
      <c r="A65" s="20" t="s">
        <v>236</v>
      </c>
      <c r="B65" s="16">
        <v>1.65</v>
      </c>
      <c r="C65" s="22">
        <v>0.002</v>
      </c>
      <c r="D65" s="22">
        <v>0.1082</v>
      </c>
      <c r="E65" s="22" t="s">
        <v>432</v>
      </c>
      <c r="F65" s="16">
        <v>138</v>
      </c>
      <c r="G65" s="16">
        <v>970</v>
      </c>
    </row>
    <row r="66" spans="1:7" ht="12.75">
      <c r="A66" s="69" t="s">
        <v>236</v>
      </c>
      <c r="B66" s="133">
        <v>1.83</v>
      </c>
      <c r="C66" s="134">
        <v>0.00030000000000000003</v>
      </c>
      <c r="D66" s="134">
        <v>0.039</v>
      </c>
      <c r="E66" s="133" t="s">
        <v>436</v>
      </c>
      <c r="F66" s="133">
        <v>138</v>
      </c>
      <c r="G66" s="133">
        <v>970</v>
      </c>
    </row>
    <row r="67" spans="1:7" ht="12.75">
      <c r="A67" s="20" t="s">
        <v>240</v>
      </c>
      <c r="B67" s="16">
        <v>1.59</v>
      </c>
      <c r="C67" s="22">
        <v>0.0027</v>
      </c>
      <c r="D67" s="22">
        <v>0.1282</v>
      </c>
      <c r="E67" s="22" t="s">
        <v>432</v>
      </c>
      <c r="F67" s="16">
        <v>140</v>
      </c>
      <c r="G67" s="16">
        <v>840</v>
      </c>
    </row>
    <row r="68" spans="1:7" ht="12.75">
      <c r="A68" s="69" t="s">
        <v>240</v>
      </c>
      <c r="B68" s="133">
        <v>1.73</v>
      </c>
      <c r="C68" s="134">
        <v>0.0014</v>
      </c>
      <c r="D68" s="134">
        <v>0.0636</v>
      </c>
      <c r="E68" s="133" t="s">
        <v>436</v>
      </c>
      <c r="F68" s="133">
        <v>140</v>
      </c>
      <c r="G68" s="133">
        <v>840</v>
      </c>
    </row>
    <row r="69" spans="1:7" ht="12.75">
      <c r="A69" s="79" t="s">
        <v>240</v>
      </c>
      <c r="B69" s="80">
        <v>1.88</v>
      </c>
      <c r="C69" s="82">
        <v>0.0009000000000000001</v>
      </c>
      <c r="D69" s="82">
        <v>0.0231</v>
      </c>
      <c r="E69" s="80" t="s">
        <v>437</v>
      </c>
      <c r="F69" s="80">
        <v>140</v>
      </c>
      <c r="G69" s="80">
        <v>840</v>
      </c>
    </row>
    <row r="70" spans="1:7" ht="12.75">
      <c r="A70" s="20" t="s">
        <v>248</v>
      </c>
      <c r="B70" s="16">
        <v>1.6</v>
      </c>
      <c r="C70" s="22">
        <v>0.0001</v>
      </c>
      <c r="D70" s="22">
        <v>0.12210000000000001</v>
      </c>
      <c r="E70" s="22" t="s">
        <v>432</v>
      </c>
      <c r="F70" s="16">
        <v>141</v>
      </c>
      <c r="G70" s="16">
        <v>1200</v>
      </c>
    </row>
    <row r="71" spans="1:7" ht="12.75">
      <c r="A71" s="69" t="s">
        <v>248</v>
      </c>
      <c r="B71" s="133">
        <v>1.67</v>
      </c>
      <c r="C71" s="134">
        <v>0.0009000000000000001</v>
      </c>
      <c r="D71" s="134">
        <v>0.0774</v>
      </c>
      <c r="E71" s="133" t="s">
        <v>436</v>
      </c>
      <c r="F71" s="133">
        <v>141</v>
      </c>
      <c r="G71" s="133">
        <v>1200</v>
      </c>
    </row>
    <row r="72" spans="1:7" ht="12.75">
      <c r="A72" s="20" t="s">
        <v>252</v>
      </c>
      <c r="B72" s="16">
        <v>1.53</v>
      </c>
      <c r="C72" s="22">
        <v>0.0007</v>
      </c>
      <c r="D72" s="22">
        <v>0.14550000000000002</v>
      </c>
      <c r="E72" s="22" t="s">
        <v>432</v>
      </c>
      <c r="F72" s="16">
        <v>141</v>
      </c>
      <c r="G72" s="16">
        <v>1000</v>
      </c>
    </row>
    <row r="73" spans="1:7" ht="12.75">
      <c r="A73" s="69" t="s">
        <v>252</v>
      </c>
      <c r="B73" s="133">
        <v>1.63</v>
      </c>
      <c r="C73" s="134">
        <v>0.001</v>
      </c>
      <c r="D73" s="134">
        <v>0.0872</v>
      </c>
      <c r="E73" s="133" t="s">
        <v>436</v>
      </c>
      <c r="F73" s="133">
        <v>141</v>
      </c>
      <c r="G73" s="133">
        <v>1000</v>
      </c>
    </row>
    <row r="74" spans="1:7" ht="12.75">
      <c r="A74" s="20" t="s">
        <v>255</v>
      </c>
      <c r="B74" s="16">
        <v>1.51</v>
      </c>
      <c r="C74" s="22">
        <v>0.0015</v>
      </c>
      <c r="D74" s="22">
        <v>0.1531</v>
      </c>
      <c r="E74" s="22" t="s">
        <v>432</v>
      </c>
      <c r="F74" s="16">
        <v>141</v>
      </c>
      <c r="G74" s="16">
        <v>820</v>
      </c>
    </row>
    <row r="75" spans="1:7" ht="12.75">
      <c r="A75" s="69" t="s">
        <v>255</v>
      </c>
      <c r="B75" s="133">
        <v>1.58</v>
      </c>
      <c r="C75" s="134">
        <v>0.0001</v>
      </c>
      <c r="D75" s="134">
        <v>0.0984</v>
      </c>
      <c r="E75" s="133" t="s">
        <v>436</v>
      </c>
      <c r="F75" s="133">
        <v>141</v>
      </c>
      <c r="G75" s="133">
        <v>820</v>
      </c>
    </row>
    <row r="76" spans="1:7" ht="12.75">
      <c r="A76" s="59" t="s">
        <v>260</v>
      </c>
      <c r="B76" s="60">
        <v>1.51</v>
      </c>
      <c r="C76" s="63">
        <v>0.0008</v>
      </c>
      <c r="D76" s="63">
        <v>0.06849999999999999</v>
      </c>
      <c r="E76" s="60" t="s">
        <v>433</v>
      </c>
      <c r="F76" s="60">
        <v>151</v>
      </c>
      <c r="G76" s="60">
        <v>1200</v>
      </c>
    </row>
    <row r="77" spans="1:7" ht="12.75">
      <c r="A77" s="41" t="s">
        <v>260</v>
      </c>
      <c r="B77" s="42">
        <v>1.2</v>
      </c>
      <c r="C77" s="44">
        <v>0.0005</v>
      </c>
      <c r="D77" s="44">
        <v>0.1961</v>
      </c>
      <c r="E77" s="128" t="s">
        <v>434</v>
      </c>
      <c r="F77" s="42">
        <v>151</v>
      </c>
      <c r="G77" s="42">
        <v>1200</v>
      </c>
    </row>
    <row r="78" spans="1:7" ht="12.75">
      <c r="A78" s="20" t="s">
        <v>269</v>
      </c>
      <c r="B78" s="16">
        <v>1.85</v>
      </c>
      <c r="C78" s="22">
        <v>0.0028</v>
      </c>
      <c r="D78" s="22">
        <v>0.047</v>
      </c>
      <c r="E78" s="22" t="s">
        <v>432</v>
      </c>
      <c r="F78" s="16">
        <v>166</v>
      </c>
      <c r="G78" s="16">
        <v>1110</v>
      </c>
    </row>
    <row r="79" spans="1:7" ht="12.75">
      <c r="A79" s="20" t="s">
        <v>271</v>
      </c>
      <c r="B79" s="16">
        <v>1.62</v>
      </c>
      <c r="C79" s="22">
        <v>0.00030000000000000003</v>
      </c>
      <c r="D79" s="22">
        <v>0.1158</v>
      </c>
      <c r="E79" s="22" t="s">
        <v>432</v>
      </c>
      <c r="F79" s="16">
        <v>166</v>
      </c>
      <c r="G79" s="16">
        <v>890</v>
      </c>
    </row>
    <row r="80" spans="1:7" ht="12.75">
      <c r="A80" s="69" t="s">
        <v>271</v>
      </c>
      <c r="B80" s="133">
        <v>1.82</v>
      </c>
      <c r="C80" s="134">
        <v>0.0013000000000000002</v>
      </c>
      <c r="D80" s="134">
        <v>0.0424</v>
      </c>
      <c r="E80" s="133" t="s">
        <v>436</v>
      </c>
      <c r="F80" s="133">
        <v>166</v>
      </c>
      <c r="G80" s="133">
        <v>890</v>
      </c>
    </row>
    <row r="81" spans="1:7" ht="12.75">
      <c r="A81" s="20" t="s">
        <v>272</v>
      </c>
      <c r="B81" s="16">
        <v>1.79</v>
      </c>
      <c r="C81" s="22">
        <v>0.0011</v>
      </c>
      <c r="D81" s="22">
        <v>0.0635</v>
      </c>
      <c r="E81" s="22" t="s">
        <v>432</v>
      </c>
      <c r="F81" s="16">
        <v>166</v>
      </c>
      <c r="G81" s="16">
        <v>780</v>
      </c>
    </row>
    <row r="82" spans="1:7" ht="12.75">
      <c r="A82" s="69" t="s">
        <v>272</v>
      </c>
      <c r="B82" s="133">
        <v>1.84</v>
      </c>
      <c r="C82" s="134">
        <v>0.0014</v>
      </c>
      <c r="D82" s="134">
        <v>0.0378</v>
      </c>
      <c r="E82" s="133" t="s">
        <v>436</v>
      </c>
      <c r="F82" s="133">
        <v>166</v>
      </c>
      <c r="G82" s="133">
        <v>780</v>
      </c>
    </row>
    <row r="83" spans="1:7" ht="12.75">
      <c r="A83" s="20" t="s">
        <v>274</v>
      </c>
      <c r="B83" s="16">
        <v>1.85</v>
      </c>
      <c r="C83" s="22">
        <v>0.0007</v>
      </c>
      <c r="D83" s="22">
        <v>0.044800000000000006</v>
      </c>
      <c r="E83" s="22" t="s">
        <v>432</v>
      </c>
      <c r="F83" s="16">
        <v>171</v>
      </c>
      <c r="G83" s="16">
        <v>1470</v>
      </c>
    </row>
    <row r="84" spans="1:7" ht="12.75">
      <c r="A84" s="20" t="s">
        <v>277</v>
      </c>
      <c r="B84" s="16">
        <v>1.78</v>
      </c>
      <c r="C84" s="22">
        <v>0.0008</v>
      </c>
      <c r="D84" s="22">
        <v>0.0662</v>
      </c>
      <c r="E84" s="22" t="s">
        <v>432</v>
      </c>
      <c r="F84" s="16">
        <v>171</v>
      </c>
      <c r="G84" s="16">
        <v>1130</v>
      </c>
    </row>
    <row r="85" spans="1:7" ht="12.75">
      <c r="A85" s="69" t="s">
        <v>277</v>
      </c>
      <c r="B85" s="133">
        <v>1.9</v>
      </c>
      <c r="C85" s="134">
        <v>0.0008</v>
      </c>
      <c r="D85" s="134">
        <v>0.023399999999999997</v>
      </c>
      <c r="E85" s="133" t="s">
        <v>436</v>
      </c>
      <c r="F85" s="133">
        <v>171</v>
      </c>
      <c r="G85" s="133">
        <v>1130</v>
      </c>
    </row>
    <row r="86" spans="1:7" ht="12.75">
      <c r="A86" s="20" t="s">
        <v>279</v>
      </c>
      <c r="B86" s="16">
        <v>1.66</v>
      </c>
      <c r="C86" s="22">
        <v>0.0026000000000000003</v>
      </c>
      <c r="D86" s="22">
        <v>0.1056</v>
      </c>
      <c r="E86" s="22" t="s">
        <v>432</v>
      </c>
      <c r="F86" s="16">
        <v>171</v>
      </c>
      <c r="G86" s="16">
        <v>930</v>
      </c>
    </row>
    <row r="87" spans="1:7" ht="12.75">
      <c r="A87" s="69" t="s">
        <v>279</v>
      </c>
      <c r="B87" s="133">
        <v>1.6800000000000002</v>
      </c>
      <c r="C87" s="134">
        <v>0.00030000000000000003</v>
      </c>
      <c r="D87" s="134">
        <v>0.07440000000000001</v>
      </c>
      <c r="E87" s="133" t="s">
        <v>436</v>
      </c>
      <c r="F87" s="133">
        <v>171</v>
      </c>
      <c r="G87" s="133">
        <v>930</v>
      </c>
    </row>
    <row r="88" spans="1:7" ht="12.75">
      <c r="A88" s="79" t="s">
        <v>279</v>
      </c>
      <c r="B88" s="80">
        <v>1.83</v>
      </c>
      <c r="C88" s="82">
        <v>0.0007</v>
      </c>
      <c r="D88" s="82">
        <v>0.0322</v>
      </c>
      <c r="E88" s="80" t="s">
        <v>437</v>
      </c>
      <c r="F88" s="80">
        <v>171</v>
      </c>
      <c r="G88" s="80">
        <v>930</v>
      </c>
    </row>
    <row r="89" spans="1:7" ht="12.75">
      <c r="A89" s="20" t="s">
        <v>282</v>
      </c>
      <c r="B89" s="16">
        <v>1.6</v>
      </c>
      <c r="C89" s="22">
        <v>0.00030000000000000003</v>
      </c>
      <c r="D89" s="22">
        <v>0.1223</v>
      </c>
      <c r="E89" s="22" t="s">
        <v>432</v>
      </c>
      <c r="F89" s="16">
        <v>171</v>
      </c>
      <c r="G89" s="16">
        <v>760</v>
      </c>
    </row>
    <row r="90" spans="1:7" ht="12.75">
      <c r="A90" s="69" t="s">
        <v>282</v>
      </c>
      <c r="B90" s="133">
        <v>1.69</v>
      </c>
      <c r="C90" s="134">
        <v>0.0018000000000000002</v>
      </c>
      <c r="D90" s="134">
        <v>0.0736</v>
      </c>
      <c r="E90" s="133" t="s">
        <v>436</v>
      </c>
      <c r="F90" s="133">
        <v>171</v>
      </c>
      <c r="G90" s="133">
        <v>760</v>
      </c>
    </row>
    <row r="91" spans="1:7" ht="12.75">
      <c r="A91" s="79" t="s">
        <v>282</v>
      </c>
      <c r="B91" s="80">
        <v>1.79</v>
      </c>
      <c r="C91" s="82">
        <v>0.0017000000000000001</v>
      </c>
      <c r="D91" s="82">
        <v>0.0408</v>
      </c>
      <c r="E91" s="80" t="s">
        <v>437</v>
      </c>
      <c r="F91" s="80">
        <v>171</v>
      </c>
      <c r="G91" s="80">
        <v>760</v>
      </c>
    </row>
    <row r="92" spans="1:7" ht="12.75">
      <c r="A92" s="20" t="s">
        <v>295</v>
      </c>
      <c r="B92" s="16">
        <v>1.56</v>
      </c>
      <c r="C92" s="22">
        <v>0.0016</v>
      </c>
      <c r="D92" s="22">
        <v>0.1367</v>
      </c>
      <c r="E92" s="22" t="s">
        <v>432</v>
      </c>
      <c r="F92" s="16">
        <v>178</v>
      </c>
      <c r="G92" s="16">
        <v>1100</v>
      </c>
    </row>
    <row r="93" spans="1:7" ht="12.75">
      <c r="A93" s="69" t="s">
        <v>295</v>
      </c>
      <c r="B93" s="133">
        <v>1.62</v>
      </c>
      <c r="C93" s="134">
        <v>0.0007</v>
      </c>
      <c r="D93" s="134">
        <v>0.08929999999999999</v>
      </c>
      <c r="E93" s="133" t="s">
        <v>436</v>
      </c>
      <c r="F93" s="133">
        <v>178</v>
      </c>
      <c r="G93" s="133">
        <v>1100</v>
      </c>
    </row>
    <row r="94" spans="1:7" ht="12.75">
      <c r="A94" s="20" t="s">
        <v>296</v>
      </c>
      <c r="B94" s="16">
        <v>1.53</v>
      </c>
      <c r="C94" s="22">
        <v>0.0012000000000000001</v>
      </c>
      <c r="D94" s="22">
        <v>0.1462</v>
      </c>
      <c r="E94" s="22" t="s">
        <v>432</v>
      </c>
      <c r="F94" s="16">
        <v>178</v>
      </c>
      <c r="G94" s="16">
        <v>950</v>
      </c>
    </row>
    <row r="95" spans="1:7" ht="12.75">
      <c r="A95" s="69" t="s">
        <v>296</v>
      </c>
      <c r="B95" s="133">
        <v>1.62</v>
      </c>
      <c r="C95" s="134">
        <v>0.0007</v>
      </c>
      <c r="D95" s="134">
        <v>0.0892</v>
      </c>
      <c r="E95" s="133" t="s">
        <v>436</v>
      </c>
      <c r="F95" s="133">
        <v>178</v>
      </c>
      <c r="G95" s="133">
        <v>950</v>
      </c>
    </row>
    <row r="96" spans="1:7" ht="12.75">
      <c r="A96" s="79" t="s">
        <v>296</v>
      </c>
      <c r="B96" s="80">
        <v>1.7000000000000002</v>
      </c>
      <c r="C96" s="82">
        <v>0.0004</v>
      </c>
      <c r="D96" s="82">
        <v>0.0567</v>
      </c>
      <c r="E96" s="80" t="s">
        <v>437</v>
      </c>
      <c r="F96" s="80">
        <v>178</v>
      </c>
      <c r="G96" s="80">
        <v>950</v>
      </c>
    </row>
    <row r="97" spans="1:7" ht="12.75">
      <c r="A97" s="20" t="s">
        <v>298</v>
      </c>
      <c r="B97" s="16">
        <v>1.51</v>
      </c>
      <c r="C97" s="22">
        <v>0.0007</v>
      </c>
      <c r="D97" s="22">
        <v>0.1522</v>
      </c>
      <c r="E97" s="22" t="s">
        <v>432</v>
      </c>
      <c r="F97" s="16">
        <v>178</v>
      </c>
      <c r="G97" s="16">
        <v>740</v>
      </c>
    </row>
    <row r="98" spans="1:7" ht="12.75">
      <c r="A98" s="69" t="s">
        <v>298</v>
      </c>
      <c r="B98" s="133">
        <v>1.55</v>
      </c>
      <c r="C98" s="134">
        <v>0.002</v>
      </c>
      <c r="D98" s="134">
        <v>0.10779999999999999</v>
      </c>
      <c r="E98" s="133" t="s">
        <v>436</v>
      </c>
      <c r="F98" s="133">
        <v>178</v>
      </c>
      <c r="G98" s="133">
        <v>740</v>
      </c>
    </row>
    <row r="99" spans="1:7" ht="12.75">
      <c r="A99" s="79" t="s">
        <v>298</v>
      </c>
      <c r="B99" s="80">
        <v>1.63</v>
      </c>
      <c r="C99" s="82">
        <v>0.0011</v>
      </c>
      <c r="D99" s="82">
        <v>0.079</v>
      </c>
      <c r="E99" s="80" t="s">
        <v>437</v>
      </c>
      <c r="F99" s="80">
        <v>178</v>
      </c>
      <c r="G99" s="80">
        <v>740</v>
      </c>
    </row>
    <row r="100" spans="1:7" ht="12.75">
      <c r="A100" s="20" t="s">
        <v>304</v>
      </c>
      <c r="B100" s="16">
        <v>1.78</v>
      </c>
      <c r="C100" s="22">
        <v>0.002</v>
      </c>
      <c r="D100" s="22">
        <v>0.0674</v>
      </c>
      <c r="E100" s="22" t="s">
        <v>432</v>
      </c>
      <c r="F100" s="16">
        <v>205</v>
      </c>
      <c r="G100" s="16">
        <v>890</v>
      </c>
    </row>
    <row r="101" spans="1:7" ht="12.75">
      <c r="A101" s="20" t="s">
        <v>307</v>
      </c>
      <c r="B101" s="16">
        <v>1.67</v>
      </c>
      <c r="C101" s="22">
        <v>0.0022</v>
      </c>
      <c r="D101" s="22">
        <v>0.102</v>
      </c>
      <c r="E101" s="22" t="s">
        <v>432</v>
      </c>
      <c r="F101" s="16">
        <v>205</v>
      </c>
      <c r="G101" s="16">
        <v>710</v>
      </c>
    </row>
    <row r="102" spans="1:7" ht="12.75">
      <c r="A102" s="69" t="s">
        <v>307</v>
      </c>
      <c r="B102" s="133">
        <v>1.81</v>
      </c>
      <c r="C102" s="134">
        <v>0.002</v>
      </c>
      <c r="D102" s="134">
        <v>0.0454</v>
      </c>
      <c r="E102" s="133" t="s">
        <v>436</v>
      </c>
      <c r="F102" s="133">
        <v>205</v>
      </c>
      <c r="G102" s="133">
        <v>710</v>
      </c>
    </row>
    <row r="103" spans="1:7" ht="12.75">
      <c r="A103" s="20" t="s">
        <v>309</v>
      </c>
      <c r="B103" s="16">
        <v>1.56</v>
      </c>
      <c r="C103" s="22">
        <v>0.0024000000000000002</v>
      </c>
      <c r="D103" s="22">
        <v>0.1376</v>
      </c>
      <c r="E103" s="22" t="s">
        <v>432</v>
      </c>
      <c r="F103" s="16">
        <v>210</v>
      </c>
      <c r="G103" s="16">
        <v>980</v>
      </c>
    </row>
    <row r="104" spans="1:7" ht="12.75">
      <c r="A104" s="69" t="s">
        <v>309</v>
      </c>
      <c r="B104" s="133">
        <v>1.58</v>
      </c>
      <c r="C104" s="134">
        <v>0.002</v>
      </c>
      <c r="D104" s="134">
        <v>0.1005</v>
      </c>
      <c r="E104" s="133" t="s">
        <v>436</v>
      </c>
      <c r="F104" s="133">
        <v>210</v>
      </c>
      <c r="G104" s="133">
        <v>980</v>
      </c>
    </row>
    <row r="105" spans="1:7" ht="12.75">
      <c r="A105" s="20" t="s">
        <v>311</v>
      </c>
      <c r="B105" s="16">
        <v>1.56</v>
      </c>
      <c r="C105" s="22">
        <v>0.002</v>
      </c>
      <c r="D105" s="22">
        <v>0.13720000000000002</v>
      </c>
      <c r="E105" s="22" t="s">
        <v>432</v>
      </c>
      <c r="F105" s="16">
        <v>216</v>
      </c>
      <c r="G105" s="16">
        <v>820</v>
      </c>
    </row>
    <row r="106" spans="1:7" ht="12.75">
      <c r="A106" s="69" t="s">
        <v>311</v>
      </c>
      <c r="B106" s="133">
        <v>1.6</v>
      </c>
      <c r="C106" s="134">
        <v>0.0014</v>
      </c>
      <c r="D106" s="134">
        <v>0.0949</v>
      </c>
      <c r="E106" s="133" t="s">
        <v>436</v>
      </c>
      <c r="F106" s="133">
        <v>216</v>
      </c>
      <c r="G106" s="133">
        <v>820</v>
      </c>
    </row>
    <row r="107" spans="1:7" ht="12.75">
      <c r="A107" s="20" t="s">
        <v>315</v>
      </c>
      <c r="B107" s="16">
        <v>1.53</v>
      </c>
      <c r="C107" s="22">
        <v>0.0027</v>
      </c>
      <c r="D107" s="22">
        <v>0.1478</v>
      </c>
      <c r="E107" s="22" t="s">
        <v>432</v>
      </c>
      <c r="F107" s="16">
        <v>216</v>
      </c>
      <c r="G107" s="16">
        <v>700</v>
      </c>
    </row>
    <row r="108" spans="1:7" ht="12.75">
      <c r="A108" s="69" t="s">
        <v>315</v>
      </c>
      <c r="B108" s="133">
        <v>1.59</v>
      </c>
      <c r="C108" s="134">
        <v>0.0015</v>
      </c>
      <c r="D108" s="134">
        <v>0.0975</v>
      </c>
      <c r="E108" s="133" t="s">
        <v>436</v>
      </c>
      <c r="F108" s="133">
        <v>216</v>
      </c>
      <c r="G108" s="133">
        <v>700</v>
      </c>
    </row>
    <row r="109" spans="1:7" ht="12.75">
      <c r="A109" s="79" t="s">
        <v>315</v>
      </c>
      <c r="B109" s="80">
        <v>1.67</v>
      </c>
      <c r="C109" s="82">
        <v>0.0016</v>
      </c>
      <c r="D109" s="82">
        <v>0.0637</v>
      </c>
      <c r="E109" s="80" t="s">
        <v>437</v>
      </c>
      <c r="F109" s="80">
        <v>216</v>
      </c>
      <c r="G109" s="80">
        <v>700</v>
      </c>
    </row>
    <row r="110" spans="1:7" ht="12.75">
      <c r="A110" s="69" t="s">
        <v>323</v>
      </c>
      <c r="B110" s="133">
        <v>1.55</v>
      </c>
      <c r="C110" s="134">
        <v>0.0022</v>
      </c>
      <c r="D110" s="134">
        <v>0.1079</v>
      </c>
      <c r="E110" s="133" t="s">
        <v>436</v>
      </c>
      <c r="F110" s="133">
        <v>216</v>
      </c>
      <c r="G110" s="133">
        <v>550</v>
      </c>
    </row>
    <row r="111" spans="1:7" ht="12.75">
      <c r="A111" s="79" t="s">
        <v>323</v>
      </c>
      <c r="B111" s="80">
        <v>1.6</v>
      </c>
      <c r="C111" s="82">
        <v>0.0017000000000000001</v>
      </c>
      <c r="D111" s="82">
        <v>0.0774</v>
      </c>
      <c r="E111" s="80" t="s">
        <v>437</v>
      </c>
      <c r="F111" s="80">
        <v>216</v>
      </c>
      <c r="G111" s="80">
        <v>550</v>
      </c>
    </row>
    <row r="112" spans="1:7" ht="12.75">
      <c r="A112" s="20" t="s">
        <v>326</v>
      </c>
      <c r="B112" s="16">
        <v>1.57</v>
      </c>
      <c r="C112" s="22">
        <v>0.0012000000000000001</v>
      </c>
      <c r="D112" s="22">
        <v>0.1331</v>
      </c>
      <c r="E112" s="22" t="s">
        <v>432</v>
      </c>
      <c r="F112" s="16">
        <v>253</v>
      </c>
      <c r="G112" s="16">
        <v>780</v>
      </c>
    </row>
    <row r="113" spans="1:7" ht="12.75">
      <c r="A113" s="69" t="s">
        <v>326</v>
      </c>
      <c r="B113" s="133">
        <v>1.63</v>
      </c>
      <c r="C113" s="134">
        <v>0.0012000000000000001</v>
      </c>
      <c r="D113" s="134">
        <v>0.0874</v>
      </c>
      <c r="E113" s="133" t="s">
        <v>436</v>
      </c>
      <c r="F113" s="133">
        <v>253</v>
      </c>
      <c r="G113" s="133">
        <v>780</v>
      </c>
    </row>
    <row r="114" spans="1:7" ht="12.75">
      <c r="A114" s="79" t="s">
        <v>328</v>
      </c>
      <c r="B114" s="80">
        <v>1.6800000000000002</v>
      </c>
      <c r="C114" s="82">
        <v>0.001</v>
      </c>
      <c r="D114" s="82">
        <v>0.0611</v>
      </c>
      <c r="E114" s="80" t="s">
        <v>437</v>
      </c>
      <c r="F114" s="80">
        <v>253</v>
      </c>
      <c r="G114" s="80">
        <v>780</v>
      </c>
    </row>
    <row r="115" spans="1:7" ht="12.75">
      <c r="A115" s="69" t="s">
        <v>329</v>
      </c>
      <c r="B115" s="133">
        <v>1.62</v>
      </c>
      <c r="C115" s="134">
        <v>0.0007</v>
      </c>
      <c r="D115" s="134">
        <v>0.08929999999999999</v>
      </c>
      <c r="E115" s="133" t="s">
        <v>436</v>
      </c>
      <c r="F115" s="133">
        <v>253</v>
      </c>
      <c r="G115" s="133">
        <v>650</v>
      </c>
    </row>
    <row r="116" spans="1:7" ht="12.75">
      <c r="A116" s="79" t="s">
        <v>329</v>
      </c>
      <c r="B116" s="80">
        <v>1.61</v>
      </c>
      <c r="C116" s="82">
        <v>0.0009000000000000001</v>
      </c>
      <c r="D116" s="82">
        <v>0.0747</v>
      </c>
      <c r="E116" s="80" t="s">
        <v>437</v>
      </c>
      <c r="F116" s="80">
        <v>253</v>
      </c>
      <c r="G116" s="80">
        <v>650</v>
      </c>
    </row>
    <row r="117" spans="1:7" ht="12.75">
      <c r="A117" s="69" t="s">
        <v>333</v>
      </c>
      <c r="B117" s="133">
        <v>1.57</v>
      </c>
      <c r="C117" s="134">
        <v>0</v>
      </c>
      <c r="D117" s="134">
        <v>0.1007</v>
      </c>
      <c r="E117" s="133">
        <v>10.07</v>
      </c>
      <c r="F117" s="133">
        <v>253</v>
      </c>
      <c r="G117" s="133">
        <v>560</v>
      </c>
    </row>
    <row r="118" spans="1:7" ht="12.75">
      <c r="A118" s="79" t="s">
        <v>333</v>
      </c>
      <c r="B118" s="80">
        <v>1.64</v>
      </c>
      <c r="C118" s="82">
        <v>0.0001</v>
      </c>
      <c r="D118" s="82">
        <v>0.0679</v>
      </c>
      <c r="E118" s="80" t="s">
        <v>437</v>
      </c>
      <c r="F118" s="80">
        <v>253</v>
      </c>
      <c r="G118" s="80">
        <v>560</v>
      </c>
    </row>
    <row r="119" spans="1:7" ht="12.75">
      <c r="A119" s="69" t="s">
        <v>338</v>
      </c>
      <c r="B119" s="133">
        <v>1.49</v>
      </c>
      <c r="C119" s="134">
        <v>0.00030000000000000003</v>
      </c>
      <c r="D119" s="134">
        <v>0.1208</v>
      </c>
      <c r="E119" s="133" t="s">
        <v>436</v>
      </c>
      <c r="F119" s="133">
        <v>253</v>
      </c>
      <c r="G119" s="133">
        <v>430</v>
      </c>
    </row>
    <row r="120" spans="1:7" ht="12.75">
      <c r="A120" s="79" t="s">
        <v>338</v>
      </c>
      <c r="B120" s="80">
        <v>1.54</v>
      </c>
      <c r="C120" s="82">
        <v>0</v>
      </c>
      <c r="D120" s="82">
        <v>0.0875</v>
      </c>
      <c r="E120" s="80" t="s">
        <v>437</v>
      </c>
      <c r="F120" s="80">
        <v>253</v>
      </c>
      <c r="G120" s="80">
        <v>430</v>
      </c>
    </row>
    <row r="121" spans="1:7" ht="12.75">
      <c r="A121" s="90" t="s">
        <v>338</v>
      </c>
      <c r="B121" s="91">
        <v>1.65</v>
      </c>
      <c r="C121" s="93">
        <v>0.00030000000000000003</v>
      </c>
      <c r="D121" s="93">
        <v>0.1063</v>
      </c>
      <c r="E121" s="91" t="s">
        <v>438</v>
      </c>
      <c r="F121" s="91">
        <v>253</v>
      </c>
      <c r="G121" s="91">
        <v>430</v>
      </c>
    </row>
    <row r="122" spans="1:7" ht="12.75">
      <c r="A122" s="69" t="s">
        <v>351</v>
      </c>
      <c r="B122" s="133">
        <v>1.79</v>
      </c>
      <c r="C122" s="134">
        <v>0.0017000000000000001</v>
      </c>
      <c r="D122" s="134">
        <v>0.049699999999999994</v>
      </c>
      <c r="E122" s="133" t="s">
        <v>436</v>
      </c>
      <c r="F122" s="133">
        <v>288</v>
      </c>
      <c r="G122" s="133">
        <v>630</v>
      </c>
    </row>
    <row r="123" spans="1:7" ht="12.75">
      <c r="A123" s="79" t="s">
        <v>351</v>
      </c>
      <c r="B123" s="80">
        <v>1.78</v>
      </c>
      <c r="C123" s="82">
        <v>0.0001</v>
      </c>
      <c r="D123" s="82">
        <v>0.040999999999999995</v>
      </c>
      <c r="E123" s="80" t="s">
        <v>437</v>
      </c>
      <c r="F123" s="80">
        <v>288</v>
      </c>
      <c r="G123" s="80">
        <v>630</v>
      </c>
    </row>
    <row r="124" spans="1:7" ht="12.75">
      <c r="A124" s="69" t="s">
        <v>355</v>
      </c>
      <c r="B124" s="133">
        <v>1.71</v>
      </c>
      <c r="C124" s="134">
        <v>0.0001</v>
      </c>
      <c r="D124" s="134">
        <v>0.067</v>
      </c>
      <c r="E124" s="133" t="s">
        <v>436</v>
      </c>
      <c r="F124" s="133">
        <v>288</v>
      </c>
      <c r="G124" s="133">
        <v>540</v>
      </c>
    </row>
    <row r="125" spans="1:7" ht="12.75">
      <c r="A125" s="79" t="s">
        <v>355</v>
      </c>
      <c r="B125" s="80">
        <v>1.8</v>
      </c>
      <c r="C125" s="82">
        <v>0.0014</v>
      </c>
      <c r="D125" s="82">
        <v>0.038599999999999995</v>
      </c>
      <c r="E125" s="82" t="s">
        <v>437</v>
      </c>
      <c r="F125" s="80">
        <v>288</v>
      </c>
      <c r="G125" s="80">
        <v>540</v>
      </c>
    </row>
    <row r="126" spans="1:7" ht="12.75">
      <c r="A126" s="69" t="s">
        <v>358</v>
      </c>
      <c r="B126" s="133">
        <v>1.61</v>
      </c>
      <c r="C126" s="134">
        <v>0.0001</v>
      </c>
      <c r="D126" s="134">
        <v>0.091</v>
      </c>
      <c r="E126" s="133" t="s">
        <v>436</v>
      </c>
      <c r="F126" s="133">
        <v>288</v>
      </c>
      <c r="G126" s="133">
        <v>420</v>
      </c>
    </row>
    <row r="127" spans="1:7" ht="12.75">
      <c r="A127" s="79" t="s">
        <v>358</v>
      </c>
      <c r="B127" s="80">
        <v>1.69</v>
      </c>
      <c r="C127" s="82">
        <v>0.0007</v>
      </c>
      <c r="D127" s="82">
        <v>0.058899999999999994</v>
      </c>
      <c r="E127" s="82" t="s">
        <v>437</v>
      </c>
      <c r="F127" s="80">
        <v>288</v>
      </c>
      <c r="G127" s="80">
        <v>420</v>
      </c>
    </row>
    <row r="128" spans="1:7" ht="12.75">
      <c r="A128" s="20" t="s">
        <v>369</v>
      </c>
      <c r="B128" s="16">
        <v>1.73</v>
      </c>
      <c r="C128" s="22">
        <v>0.0005</v>
      </c>
      <c r="D128" s="22">
        <v>0.08130000000000001</v>
      </c>
      <c r="E128" s="22" t="s">
        <v>432</v>
      </c>
      <c r="F128" s="16">
        <v>293</v>
      </c>
      <c r="G128" s="16">
        <v>850</v>
      </c>
    </row>
    <row r="129" spans="1:7" ht="12.75">
      <c r="A129" s="69" t="s">
        <v>369</v>
      </c>
      <c r="B129" s="133">
        <v>1.81</v>
      </c>
      <c r="C129" s="134">
        <v>0.0012000000000000001</v>
      </c>
      <c r="D129" s="134">
        <v>0.0446</v>
      </c>
      <c r="E129" s="133" t="s">
        <v>436</v>
      </c>
      <c r="F129" s="133">
        <v>293</v>
      </c>
      <c r="G129" s="133">
        <v>850</v>
      </c>
    </row>
    <row r="130" spans="1:7" ht="12.75">
      <c r="A130" s="69" t="s">
        <v>372</v>
      </c>
      <c r="B130" s="133">
        <v>1.77</v>
      </c>
      <c r="C130" s="134">
        <v>0.0018000000000000002</v>
      </c>
      <c r="D130" s="134">
        <v>0.0546</v>
      </c>
      <c r="E130" s="133" t="s">
        <v>436</v>
      </c>
      <c r="F130" s="133">
        <v>293</v>
      </c>
      <c r="G130" s="133">
        <v>710</v>
      </c>
    </row>
    <row r="131" spans="1:7" ht="12.75">
      <c r="A131" s="79" t="s">
        <v>372</v>
      </c>
      <c r="B131" s="80">
        <v>1.77</v>
      </c>
      <c r="C131" s="82">
        <v>0.0001</v>
      </c>
      <c r="D131" s="82">
        <v>0.0429</v>
      </c>
      <c r="E131" s="82" t="s">
        <v>437</v>
      </c>
      <c r="F131" s="80">
        <v>293</v>
      </c>
      <c r="G131" s="80">
        <v>710</v>
      </c>
    </row>
    <row r="132" spans="1:7" ht="12.75">
      <c r="A132" s="69" t="s">
        <v>375</v>
      </c>
      <c r="B132" s="133">
        <v>1.74</v>
      </c>
      <c r="C132" s="134">
        <v>0.0016</v>
      </c>
      <c r="D132" s="134">
        <v>0.061399999999999996</v>
      </c>
      <c r="E132" s="133" t="s">
        <v>436</v>
      </c>
      <c r="F132" s="133">
        <v>290</v>
      </c>
      <c r="G132" s="133">
        <v>610</v>
      </c>
    </row>
    <row r="133" spans="1:7" ht="12.75">
      <c r="A133" s="79" t="s">
        <v>375</v>
      </c>
      <c r="B133" s="80">
        <v>1.83</v>
      </c>
      <c r="C133" s="82">
        <v>0.0012000000000000001</v>
      </c>
      <c r="D133" s="82">
        <v>0.0328</v>
      </c>
      <c r="E133" s="82" t="s">
        <v>437</v>
      </c>
      <c r="F133" s="80">
        <v>290</v>
      </c>
      <c r="G133" s="80">
        <v>610</v>
      </c>
    </row>
    <row r="134" spans="1:7" ht="12.75">
      <c r="A134" s="69" t="s">
        <v>377</v>
      </c>
      <c r="B134" s="133">
        <v>1.6800000000000002</v>
      </c>
      <c r="C134" s="134">
        <v>0.0002</v>
      </c>
      <c r="D134" s="134">
        <v>0.0742</v>
      </c>
      <c r="E134" s="133" t="s">
        <v>436</v>
      </c>
      <c r="F134" s="133">
        <v>290</v>
      </c>
      <c r="G134" s="133">
        <v>540</v>
      </c>
    </row>
    <row r="135" spans="1:7" ht="12.75">
      <c r="A135" s="79" t="s">
        <v>377</v>
      </c>
      <c r="B135" s="80">
        <v>1.72</v>
      </c>
      <c r="C135" s="82">
        <v>0.0015</v>
      </c>
      <c r="D135" s="82">
        <v>0.053899999999999997</v>
      </c>
      <c r="E135" s="82" t="s">
        <v>437</v>
      </c>
      <c r="F135" s="80">
        <v>290</v>
      </c>
      <c r="G135" s="80">
        <v>540</v>
      </c>
    </row>
    <row r="136" spans="1:7" ht="12.75">
      <c r="A136" s="90" t="s">
        <v>377</v>
      </c>
      <c r="B136" s="91">
        <v>1.85</v>
      </c>
      <c r="C136" s="93">
        <v>0.0023</v>
      </c>
      <c r="D136" s="93">
        <v>0.04650000000000001</v>
      </c>
      <c r="E136" s="91" t="s">
        <v>438</v>
      </c>
      <c r="F136" s="91">
        <v>290</v>
      </c>
      <c r="G136" s="91">
        <v>540</v>
      </c>
    </row>
    <row r="137" spans="1:7" ht="12.75">
      <c r="A137" s="69" t="s">
        <v>381</v>
      </c>
      <c r="B137" s="133">
        <v>1.65</v>
      </c>
      <c r="C137" s="134">
        <v>0.0014</v>
      </c>
      <c r="D137" s="134">
        <v>0.0828</v>
      </c>
      <c r="E137" s="133" t="s">
        <v>436</v>
      </c>
      <c r="F137" s="133">
        <v>290</v>
      </c>
      <c r="G137" s="133">
        <v>430</v>
      </c>
    </row>
    <row r="138" spans="1:7" ht="12.75">
      <c r="A138" s="79" t="s">
        <v>381</v>
      </c>
      <c r="B138" s="80">
        <v>1.67</v>
      </c>
      <c r="C138" s="82">
        <v>0.0012000000000000001</v>
      </c>
      <c r="D138" s="82">
        <v>0.0633</v>
      </c>
      <c r="E138" s="82" t="s">
        <v>437</v>
      </c>
      <c r="F138" s="80">
        <v>290</v>
      </c>
      <c r="G138" s="80">
        <v>430</v>
      </c>
    </row>
    <row r="139" spans="1:7" ht="12.75">
      <c r="A139" s="90" t="s">
        <v>381</v>
      </c>
      <c r="B139" s="91">
        <v>1.82</v>
      </c>
      <c r="C139" s="93">
        <v>0.0002</v>
      </c>
      <c r="D139" s="93">
        <v>0.053399999999999996</v>
      </c>
      <c r="E139" s="91" t="s">
        <v>438</v>
      </c>
      <c r="F139" s="91">
        <v>290</v>
      </c>
      <c r="G139" s="91">
        <v>430</v>
      </c>
    </row>
    <row r="140" spans="1:7" ht="12.75">
      <c r="A140" s="79" t="s">
        <v>384</v>
      </c>
      <c r="B140" s="80">
        <v>1.73</v>
      </c>
      <c r="C140" s="82">
        <v>0.0006000000000000001</v>
      </c>
      <c r="D140" s="82">
        <v>0.051</v>
      </c>
      <c r="E140" s="82" t="s">
        <v>437</v>
      </c>
      <c r="F140" s="80">
        <v>353</v>
      </c>
      <c r="G140" s="80">
        <v>520</v>
      </c>
    </row>
    <row r="141" spans="1:7" ht="12.75">
      <c r="A141" s="79" t="s">
        <v>387</v>
      </c>
      <c r="B141" s="80">
        <v>1.66</v>
      </c>
      <c r="C141" s="82">
        <v>0.0017000000000000001</v>
      </c>
      <c r="D141" s="82">
        <v>0.0658</v>
      </c>
      <c r="E141" s="82" t="s">
        <v>437</v>
      </c>
      <c r="F141" s="80">
        <v>353</v>
      </c>
      <c r="G141" s="80">
        <v>440</v>
      </c>
    </row>
    <row r="142" spans="1:7" ht="12.75">
      <c r="A142" s="88" t="s">
        <v>387</v>
      </c>
      <c r="B142" s="89">
        <v>1.81</v>
      </c>
      <c r="C142" s="103">
        <v>0.0012000000000000001</v>
      </c>
      <c r="D142" s="103">
        <v>0.030899999999999997</v>
      </c>
      <c r="E142" s="89" t="s">
        <v>439</v>
      </c>
      <c r="F142" s="89">
        <v>353</v>
      </c>
      <c r="G142" s="2">
        <v>440</v>
      </c>
    </row>
    <row r="143" spans="1:7" ht="12.75">
      <c r="A143" s="79" t="s">
        <v>389</v>
      </c>
      <c r="B143" s="80">
        <v>1.79</v>
      </c>
      <c r="C143" s="82">
        <v>0.0006000000000000001</v>
      </c>
      <c r="D143" s="82">
        <v>0.0397</v>
      </c>
      <c r="E143" s="82" t="s">
        <v>437</v>
      </c>
      <c r="F143" s="80">
        <v>398</v>
      </c>
      <c r="G143" s="80">
        <v>540</v>
      </c>
    </row>
    <row r="144" spans="1:7" ht="12.75">
      <c r="A144" s="90" t="s">
        <v>389</v>
      </c>
      <c r="B144" s="91">
        <v>1.78</v>
      </c>
      <c r="C144" s="93">
        <v>0.0014</v>
      </c>
      <c r="D144" s="93">
        <v>0.0669</v>
      </c>
      <c r="E144" s="91" t="s">
        <v>438</v>
      </c>
      <c r="F144" s="91">
        <v>398</v>
      </c>
      <c r="G144" s="91">
        <v>540</v>
      </c>
    </row>
    <row r="145" spans="1:7" ht="12.75">
      <c r="A145" s="79" t="s">
        <v>392</v>
      </c>
      <c r="B145" s="80">
        <v>1.66</v>
      </c>
      <c r="C145" s="82">
        <v>0</v>
      </c>
      <c r="D145" s="82">
        <v>0.064</v>
      </c>
      <c r="E145" s="82" t="s">
        <v>437</v>
      </c>
      <c r="F145" s="80">
        <v>400</v>
      </c>
      <c r="G145" s="80">
        <v>450</v>
      </c>
    </row>
    <row r="146" spans="1:7" ht="12.75">
      <c r="A146" s="90" t="s">
        <v>392</v>
      </c>
      <c r="B146" s="91">
        <v>1.74</v>
      </c>
      <c r="C146" s="93">
        <v>0.0012000000000000001</v>
      </c>
      <c r="D146" s="93">
        <v>0.0789</v>
      </c>
      <c r="E146" s="91" t="s">
        <v>438</v>
      </c>
      <c r="F146" s="91">
        <v>400</v>
      </c>
      <c r="G146" s="91">
        <v>450</v>
      </c>
    </row>
    <row r="147" spans="1:7" ht="12.75">
      <c r="A147" s="79" t="s">
        <v>396</v>
      </c>
      <c r="B147" s="80">
        <v>1.59</v>
      </c>
      <c r="C147" s="82">
        <v>0.0007</v>
      </c>
      <c r="D147" s="82">
        <v>0.0784</v>
      </c>
      <c r="E147" s="82" t="s">
        <v>437</v>
      </c>
      <c r="F147" s="80">
        <v>396</v>
      </c>
      <c r="G147" s="80">
        <v>390</v>
      </c>
    </row>
    <row r="148" spans="1:7" ht="12.75">
      <c r="A148" s="90" t="s">
        <v>396</v>
      </c>
      <c r="B148" s="91">
        <v>1.71</v>
      </c>
      <c r="C148" s="93">
        <v>0.0025</v>
      </c>
      <c r="D148" s="93">
        <v>0.0897</v>
      </c>
      <c r="E148" s="91" t="s">
        <v>438</v>
      </c>
      <c r="F148" s="91">
        <v>396</v>
      </c>
      <c r="G148" s="91">
        <v>390</v>
      </c>
    </row>
    <row r="149" spans="1:7" ht="12.75">
      <c r="A149" s="90" t="s">
        <v>400</v>
      </c>
      <c r="B149" s="91">
        <v>1.61</v>
      </c>
      <c r="C149" s="93">
        <v>0.0002</v>
      </c>
      <c r="D149" s="93">
        <v>0.1189</v>
      </c>
      <c r="E149" s="91" t="s">
        <v>438</v>
      </c>
      <c r="F149" s="91">
        <v>396</v>
      </c>
      <c r="G149" s="91">
        <v>300</v>
      </c>
    </row>
    <row r="150" spans="1:7" ht="12.75">
      <c r="A150" s="104" t="s">
        <v>400</v>
      </c>
      <c r="B150" s="105">
        <v>1.75</v>
      </c>
      <c r="C150" s="107">
        <v>0.0001</v>
      </c>
      <c r="D150" s="107">
        <v>0.0575</v>
      </c>
      <c r="E150" s="105" t="s">
        <v>440</v>
      </c>
      <c r="F150" s="105">
        <v>396</v>
      </c>
      <c r="G150" s="105">
        <v>300</v>
      </c>
    </row>
    <row r="151" spans="1:7" ht="12.75">
      <c r="A151" s="112" t="s">
        <v>406</v>
      </c>
      <c r="B151" s="113">
        <v>1.77</v>
      </c>
      <c r="C151" s="115">
        <v>0.0008</v>
      </c>
      <c r="D151" s="115">
        <v>0.024399999999999998</v>
      </c>
      <c r="E151" s="113" t="s">
        <v>441</v>
      </c>
      <c r="F151" s="113">
        <v>409</v>
      </c>
      <c r="G151" s="113">
        <v>385</v>
      </c>
    </row>
    <row r="152" spans="1:7" ht="12.75">
      <c r="A152" s="112" t="s">
        <v>417</v>
      </c>
      <c r="B152" s="113">
        <v>1.74</v>
      </c>
      <c r="C152" s="115">
        <v>0.0011</v>
      </c>
      <c r="D152" s="115">
        <v>0.0346</v>
      </c>
      <c r="E152" s="113" t="s">
        <v>441</v>
      </c>
      <c r="F152" s="113">
        <v>409</v>
      </c>
      <c r="G152" s="113">
        <v>305</v>
      </c>
    </row>
    <row r="153" spans="1:7" ht="12.75">
      <c r="A153" s="120" t="s">
        <v>417</v>
      </c>
      <c r="B153" s="121">
        <v>1.65</v>
      </c>
      <c r="C153" s="123">
        <v>0.0004</v>
      </c>
      <c r="D153" s="123">
        <v>0.0516</v>
      </c>
      <c r="E153" s="121" t="s">
        <v>442</v>
      </c>
      <c r="F153" s="121">
        <v>409</v>
      </c>
      <c r="G153" s="121">
        <v>305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110" zoomScaleNormal="110" workbookViewId="0" topLeftCell="A166">
      <selection activeCell="M199" sqref="M199"/>
    </sheetView>
  </sheetViews>
  <sheetFormatPr defaultColWidth="12.5742187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8515625" style="0" customWidth="1"/>
    <col min="5" max="5" width="13.421875" style="0" customWidth="1"/>
    <col min="6" max="6" width="7.140625" style="0" customWidth="1"/>
    <col min="7" max="7" width="7.8515625" style="0" customWidth="1"/>
    <col min="8" max="11" width="11.57421875" style="0" customWidth="1"/>
    <col min="12" max="12" width="12.421875" style="0" customWidth="1"/>
    <col min="13" max="13" width="13.28125" style="0" customWidth="1"/>
    <col min="14" max="16384" width="11.57421875" style="0" customWidth="1"/>
  </cols>
  <sheetData>
    <row r="1" spans="1:7" ht="12.75">
      <c r="A1" s="1" t="s">
        <v>0</v>
      </c>
      <c r="B1" s="2" t="s">
        <v>427</v>
      </c>
      <c r="C1" s="2" t="s">
        <v>428</v>
      </c>
      <c r="D1" s="2" t="s">
        <v>429</v>
      </c>
      <c r="E1" s="2" t="s">
        <v>430</v>
      </c>
      <c r="F1" s="2" t="s">
        <v>8</v>
      </c>
      <c r="G1" s="2" t="s">
        <v>7</v>
      </c>
    </row>
    <row r="2" spans="1:7" ht="12.75">
      <c r="A2" s="49" t="s">
        <v>195</v>
      </c>
      <c r="B2" s="50">
        <v>1.3</v>
      </c>
      <c r="C2" s="53">
        <v>0.0023</v>
      </c>
      <c r="D2" s="53">
        <v>0.1048</v>
      </c>
      <c r="E2" s="50" t="s">
        <v>435</v>
      </c>
      <c r="F2" s="50">
        <v>106</v>
      </c>
      <c r="G2" s="50">
        <v>1640</v>
      </c>
    </row>
    <row r="3" spans="1:7" ht="12.75">
      <c r="A3" s="49"/>
      <c r="B3" s="50"/>
      <c r="C3" s="53"/>
      <c r="D3" s="53"/>
      <c r="E3" s="50"/>
      <c r="F3" s="50"/>
      <c r="G3" s="50"/>
    </row>
    <row r="4" spans="1:9" ht="12.75">
      <c r="A4" s="59" t="s">
        <v>154</v>
      </c>
      <c r="B4" s="60">
        <v>1.5</v>
      </c>
      <c r="C4" s="63">
        <v>0</v>
      </c>
      <c r="D4" s="63">
        <v>0.0616</v>
      </c>
      <c r="E4" s="60" t="s">
        <v>433</v>
      </c>
      <c r="F4" s="60">
        <v>76</v>
      </c>
      <c r="G4" s="60">
        <v>1490</v>
      </c>
      <c r="H4" s="19">
        <f>7/3.7</f>
        <v>1.8918918918918919</v>
      </c>
      <c r="I4" s="19">
        <f>8/3.7</f>
        <v>2.162162162162162</v>
      </c>
    </row>
    <row r="5" spans="1:7" ht="12.75">
      <c r="A5" s="59" t="s">
        <v>195</v>
      </c>
      <c r="B5" s="60">
        <v>1.2</v>
      </c>
      <c r="C5" s="63">
        <v>0.0079</v>
      </c>
      <c r="D5" s="63">
        <v>0.11</v>
      </c>
      <c r="E5" s="60" t="s">
        <v>433</v>
      </c>
      <c r="F5" s="60">
        <v>106</v>
      </c>
      <c r="G5" s="60">
        <v>1640</v>
      </c>
    </row>
    <row r="6" spans="1:7" ht="12.75">
      <c r="A6" s="59" t="s">
        <v>260</v>
      </c>
      <c r="B6" s="60">
        <v>1.51</v>
      </c>
      <c r="C6" s="63">
        <v>0.0008</v>
      </c>
      <c r="D6" s="63">
        <v>0.06849999999999999</v>
      </c>
      <c r="E6" s="60" t="s">
        <v>433</v>
      </c>
      <c r="F6" s="60">
        <v>151</v>
      </c>
      <c r="G6" s="60">
        <v>1200</v>
      </c>
    </row>
    <row r="7" spans="1:7" ht="12.75">
      <c r="A7" s="135" t="s">
        <v>443</v>
      </c>
      <c r="B7" s="60">
        <f>AVERAGE(B4:B6)</f>
        <v>1.4033333333333333</v>
      </c>
      <c r="C7" s="63"/>
      <c r="D7" s="63"/>
      <c r="E7" s="60"/>
      <c r="F7" s="60"/>
      <c r="G7" s="60"/>
    </row>
    <row r="8" spans="1:7" ht="12.75">
      <c r="A8" s="135" t="s">
        <v>444</v>
      </c>
      <c r="B8" s="60">
        <f>MEDIAN(B4:B6)</f>
        <v>1.5</v>
      </c>
      <c r="C8" s="63"/>
      <c r="D8" s="63"/>
      <c r="E8" s="60"/>
      <c r="F8" s="60"/>
      <c r="G8" s="60"/>
    </row>
    <row r="9" spans="1:7" ht="12.75">
      <c r="A9" s="59"/>
      <c r="B9" s="60"/>
      <c r="C9" s="63"/>
      <c r="D9" s="63"/>
      <c r="E9" s="60"/>
      <c r="F9" s="60"/>
      <c r="G9" s="60"/>
    </row>
    <row r="10" spans="1:9" ht="12.75">
      <c r="A10" s="41" t="s">
        <v>154</v>
      </c>
      <c r="B10" s="42">
        <v>1.51</v>
      </c>
      <c r="C10" s="44">
        <v>0.0015</v>
      </c>
      <c r="D10" s="44">
        <v>0.099</v>
      </c>
      <c r="E10" s="128" t="s">
        <v>434</v>
      </c>
      <c r="F10" s="42">
        <v>76</v>
      </c>
      <c r="G10" s="42">
        <v>1490</v>
      </c>
      <c r="H10" s="19">
        <f>8/3.7</f>
        <v>2.162162162162162</v>
      </c>
      <c r="I10" s="19">
        <f>10/3.7</f>
        <v>2.7027027027027026</v>
      </c>
    </row>
    <row r="11" spans="1:7" ht="12.75">
      <c r="A11" s="41" t="s">
        <v>260</v>
      </c>
      <c r="B11" s="42">
        <v>1.2</v>
      </c>
      <c r="C11" s="44">
        <v>0.0005</v>
      </c>
      <c r="D11" s="44">
        <v>0.1961</v>
      </c>
      <c r="E11" s="128" t="s">
        <v>434</v>
      </c>
      <c r="F11" s="42">
        <v>151</v>
      </c>
      <c r="G11" s="42">
        <v>1200</v>
      </c>
    </row>
    <row r="12" spans="1:7" ht="12.75">
      <c r="A12" s="136" t="s">
        <v>443</v>
      </c>
      <c r="B12" s="42">
        <f>AVERAGE(B10:B11)</f>
        <v>1.355</v>
      </c>
      <c r="C12" s="137" t="s">
        <v>445</v>
      </c>
      <c r="D12" s="44"/>
      <c r="E12" s="128"/>
      <c r="F12" s="42"/>
      <c r="G12" s="42"/>
    </row>
    <row r="13" spans="1:7" ht="12.75">
      <c r="A13" s="136" t="s">
        <v>444</v>
      </c>
      <c r="B13" s="42">
        <f>MEDIAN(B10:B11)</f>
        <v>1.355</v>
      </c>
      <c r="C13" s="44"/>
      <c r="D13" s="44"/>
      <c r="E13" s="128"/>
      <c r="F13" s="42"/>
      <c r="G13" s="42"/>
    </row>
    <row r="14" spans="1:7" ht="12.75">
      <c r="A14" s="41"/>
      <c r="B14" s="42"/>
      <c r="C14" s="44"/>
      <c r="D14" s="44"/>
      <c r="E14" s="128"/>
      <c r="F14" s="42"/>
      <c r="G14" s="42"/>
    </row>
    <row r="15" spans="1:7" ht="12.75">
      <c r="A15" s="1" t="s">
        <v>9</v>
      </c>
      <c r="B15" s="2">
        <v>1.5</v>
      </c>
      <c r="C15" s="4">
        <v>0</v>
      </c>
      <c r="D15" s="4">
        <v>0.2257</v>
      </c>
      <c r="E15" s="2" t="s">
        <v>431</v>
      </c>
      <c r="F15" s="2">
        <v>22.4</v>
      </c>
      <c r="G15" s="2">
        <v>1960</v>
      </c>
    </row>
    <row r="16" spans="1:7" ht="12.75">
      <c r="A16" s="1" t="s">
        <v>17</v>
      </c>
      <c r="B16" s="2">
        <v>1.47</v>
      </c>
      <c r="C16" s="4">
        <v>0.00030000000000000003</v>
      </c>
      <c r="D16" s="4">
        <v>0.2401</v>
      </c>
      <c r="E16" s="2" t="s">
        <v>431</v>
      </c>
      <c r="F16" s="2">
        <v>22.5</v>
      </c>
      <c r="G16" s="2">
        <v>1750</v>
      </c>
    </row>
    <row r="17" spans="1:7" ht="12.75">
      <c r="A17" s="1" t="s">
        <v>24</v>
      </c>
      <c r="B17" s="2">
        <v>1.34</v>
      </c>
      <c r="C17" s="4">
        <v>0.0006000000000000001</v>
      </c>
      <c r="D17" s="4">
        <v>0.30760000000000004</v>
      </c>
      <c r="E17" s="2" t="s">
        <v>431</v>
      </c>
      <c r="F17" s="2">
        <v>22.5</v>
      </c>
      <c r="G17" s="2">
        <v>1080</v>
      </c>
    </row>
    <row r="18" spans="1:7" ht="12.75">
      <c r="A18" s="1" t="s">
        <v>30</v>
      </c>
      <c r="B18" s="2">
        <v>1.27</v>
      </c>
      <c r="C18" s="4">
        <v>0.001</v>
      </c>
      <c r="D18" s="4">
        <v>0.33590000000000003</v>
      </c>
      <c r="E18" s="2" t="s">
        <v>431</v>
      </c>
      <c r="F18" s="2">
        <v>35.4</v>
      </c>
      <c r="G18" s="2">
        <v>1900</v>
      </c>
    </row>
    <row r="19" spans="1:7" ht="12.75">
      <c r="A19" s="1" t="s">
        <v>34</v>
      </c>
      <c r="B19" s="2">
        <v>1.24</v>
      </c>
      <c r="C19" s="4">
        <v>0.0027</v>
      </c>
      <c r="D19" s="4">
        <v>0.36460000000000004</v>
      </c>
      <c r="E19" s="2" t="s">
        <v>431</v>
      </c>
      <c r="F19" s="2">
        <v>35.4</v>
      </c>
      <c r="G19" s="2">
        <v>1585</v>
      </c>
    </row>
    <row r="20" spans="1:7" ht="12.75">
      <c r="A20" s="1" t="s">
        <v>38</v>
      </c>
      <c r="B20" s="2">
        <v>1.29</v>
      </c>
      <c r="C20" s="4">
        <v>0.0031000000000000003</v>
      </c>
      <c r="D20" s="4">
        <v>0.33770000000000006</v>
      </c>
      <c r="E20" s="2" t="s">
        <v>431</v>
      </c>
      <c r="F20" s="2">
        <v>35.4</v>
      </c>
      <c r="G20" s="2">
        <v>1490</v>
      </c>
    </row>
    <row r="21" spans="1:7" ht="12.75">
      <c r="A21" s="1" t="s">
        <v>43</v>
      </c>
      <c r="B21" s="2">
        <v>1.34</v>
      </c>
      <c r="C21" s="4">
        <v>0.0025</v>
      </c>
      <c r="D21" s="4">
        <v>0.3102</v>
      </c>
      <c r="E21" s="2" t="s">
        <v>431</v>
      </c>
      <c r="F21" s="2">
        <v>45</v>
      </c>
      <c r="G21" s="2">
        <v>1280</v>
      </c>
    </row>
    <row r="22" spans="1:7" ht="12.75">
      <c r="A22" s="1" t="s">
        <v>54</v>
      </c>
      <c r="B22" s="2">
        <v>1.27</v>
      </c>
      <c r="C22" s="4">
        <v>0.0012000000000000001</v>
      </c>
      <c r="D22" s="4">
        <v>0.34600000000000003</v>
      </c>
      <c r="E22" s="2" t="s">
        <v>431</v>
      </c>
      <c r="F22" s="2">
        <v>45</v>
      </c>
      <c r="G22" s="2">
        <v>1100</v>
      </c>
    </row>
    <row r="23" spans="1:12" ht="12.75">
      <c r="A23" s="1" t="s">
        <v>62</v>
      </c>
      <c r="B23" s="2">
        <v>1.49</v>
      </c>
      <c r="C23" s="4">
        <v>0.0025</v>
      </c>
      <c r="D23" s="4">
        <v>0.2328</v>
      </c>
      <c r="E23" s="2" t="s">
        <v>431</v>
      </c>
      <c r="F23" s="2">
        <v>46.5</v>
      </c>
      <c r="G23" s="2">
        <v>2000</v>
      </c>
      <c r="I23" t="s">
        <v>446</v>
      </c>
      <c r="J23" t="s">
        <v>447</v>
      </c>
      <c r="K23" s="6" t="s">
        <v>448</v>
      </c>
      <c r="L23" t="s">
        <v>449</v>
      </c>
    </row>
    <row r="24" spans="1:12" ht="12.75">
      <c r="A24" s="1" t="s">
        <v>65</v>
      </c>
      <c r="B24" s="2">
        <v>1.46</v>
      </c>
      <c r="C24" s="4">
        <v>0.0031000000000000003</v>
      </c>
      <c r="D24" s="4">
        <v>0.2486</v>
      </c>
      <c r="E24" s="2" t="s">
        <v>431</v>
      </c>
      <c r="F24" s="2">
        <v>46.5</v>
      </c>
      <c r="G24" s="2">
        <v>1550</v>
      </c>
      <c r="I24" s="6">
        <v>0.15</v>
      </c>
      <c r="J24" s="6">
        <f>I24*8.5</f>
        <v>1.275</v>
      </c>
      <c r="K24" s="6">
        <f>I24*14.9</f>
        <v>2.235</v>
      </c>
      <c r="L24" s="19">
        <f>(11.1-K24)/11.1</f>
        <v>0.7986486486486487</v>
      </c>
    </row>
    <row r="25" spans="1:7" ht="12.75">
      <c r="A25" s="1" t="s">
        <v>69</v>
      </c>
      <c r="B25" s="2">
        <v>1.35</v>
      </c>
      <c r="C25" s="4">
        <v>0.0018000000000000002</v>
      </c>
      <c r="D25" s="4">
        <v>0.3038</v>
      </c>
      <c r="E25" s="2" t="s">
        <v>431</v>
      </c>
      <c r="F25" s="2">
        <v>47</v>
      </c>
      <c r="G25" s="2">
        <v>1180</v>
      </c>
    </row>
    <row r="26" spans="1:7" ht="12.75">
      <c r="A26" s="1" t="s">
        <v>76</v>
      </c>
      <c r="B26" s="2">
        <v>1.38</v>
      </c>
      <c r="C26" s="4">
        <v>0.0015</v>
      </c>
      <c r="D26" s="4">
        <v>0.2878</v>
      </c>
      <c r="E26" s="2" t="s">
        <v>431</v>
      </c>
      <c r="F26" s="2">
        <v>58</v>
      </c>
      <c r="G26" s="2">
        <v>1850</v>
      </c>
    </row>
    <row r="27" spans="1:7" ht="12.75">
      <c r="A27" s="1" t="s">
        <v>79</v>
      </c>
      <c r="B27" s="2">
        <v>1.42</v>
      </c>
      <c r="C27" s="4">
        <v>0.0014</v>
      </c>
      <c r="D27" s="4">
        <v>0.2669</v>
      </c>
      <c r="E27" s="2" t="s">
        <v>431</v>
      </c>
      <c r="F27" s="2">
        <v>58</v>
      </c>
      <c r="G27" s="2">
        <v>1170</v>
      </c>
    </row>
    <row r="28" spans="1:7" ht="12.75">
      <c r="A28" s="1" t="s">
        <v>85</v>
      </c>
      <c r="B28" s="2">
        <v>1.47</v>
      </c>
      <c r="C28" s="4">
        <v>0.0014</v>
      </c>
      <c r="D28" s="4">
        <v>0.2414</v>
      </c>
      <c r="E28" s="2" t="s">
        <v>431</v>
      </c>
      <c r="F28" s="2">
        <v>58</v>
      </c>
      <c r="G28" s="2">
        <v>960</v>
      </c>
    </row>
    <row r="29" spans="1:7" ht="12.75">
      <c r="A29" s="1" t="s">
        <v>90</v>
      </c>
      <c r="B29" s="2">
        <v>1.32</v>
      </c>
      <c r="C29" s="4">
        <v>0.0023</v>
      </c>
      <c r="D29" s="4">
        <v>0.32049999999999995</v>
      </c>
      <c r="E29" s="2" t="s">
        <v>431</v>
      </c>
      <c r="F29" s="2">
        <v>58</v>
      </c>
      <c r="G29" s="2">
        <v>885</v>
      </c>
    </row>
    <row r="30" spans="1:7" ht="12.75">
      <c r="A30" s="1" t="s">
        <v>111</v>
      </c>
      <c r="B30" s="2">
        <v>1.52</v>
      </c>
      <c r="C30" s="4">
        <v>0.0029000000000000002</v>
      </c>
      <c r="D30" s="4">
        <v>0.2184</v>
      </c>
      <c r="E30" s="2" t="s">
        <v>431</v>
      </c>
      <c r="F30" s="2">
        <v>60</v>
      </c>
      <c r="G30" s="2">
        <v>2000</v>
      </c>
    </row>
    <row r="31" spans="1:7" ht="12.75">
      <c r="A31" s="1" t="s">
        <v>116</v>
      </c>
      <c r="B31" s="2">
        <v>1.27</v>
      </c>
      <c r="C31" s="4">
        <v>0.0028</v>
      </c>
      <c r="D31" s="4">
        <v>0.3483</v>
      </c>
      <c r="E31" s="2" t="s">
        <v>431</v>
      </c>
      <c r="F31" s="2">
        <v>61</v>
      </c>
      <c r="G31" s="2">
        <v>1350</v>
      </c>
    </row>
    <row r="32" spans="1:7" ht="12.75">
      <c r="A32" s="1" t="s">
        <v>119</v>
      </c>
      <c r="B32" s="2">
        <v>1.38</v>
      </c>
      <c r="C32" s="4">
        <v>0.0023</v>
      </c>
      <c r="D32" s="4">
        <v>0.2887</v>
      </c>
      <c r="E32" s="2" t="s">
        <v>431</v>
      </c>
      <c r="F32" s="2">
        <v>60</v>
      </c>
      <c r="G32" s="2">
        <v>1100</v>
      </c>
    </row>
    <row r="33" spans="1:7" ht="12.75">
      <c r="A33" s="1" t="s">
        <v>121</v>
      </c>
      <c r="B33" s="2">
        <v>1.36</v>
      </c>
      <c r="C33" s="4">
        <v>0.0032</v>
      </c>
      <c r="D33" s="4">
        <v>0.3004</v>
      </c>
      <c r="E33" s="2" t="s">
        <v>431</v>
      </c>
      <c r="F33" s="2">
        <v>61</v>
      </c>
      <c r="G33" s="2">
        <v>950</v>
      </c>
    </row>
    <row r="34" spans="1:7" ht="12.75">
      <c r="A34" s="1" t="s">
        <v>124</v>
      </c>
      <c r="B34" s="2">
        <v>1.49</v>
      </c>
      <c r="C34" s="4">
        <v>0.0028</v>
      </c>
      <c r="D34" s="4">
        <v>0.2332</v>
      </c>
      <c r="E34" s="2" t="s">
        <v>431</v>
      </c>
      <c r="F34" s="2">
        <v>68.8</v>
      </c>
      <c r="G34" s="2">
        <v>1810</v>
      </c>
    </row>
    <row r="35" spans="1:7" ht="12.75">
      <c r="A35" s="1" t="s">
        <v>126</v>
      </c>
      <c r="B35" s="2">
        <v>1.35</v>
      </c>
      <c r="C35" s="4">
        <v>0.0013000000000000002</v>
      </c>
      <c r="D35" s="4">
        <v>0.3032</v>
      </c>
      <c r="E35" s="2" t="s">
        <v>431</v>
      </c>
      <c r="F35" s="2">
        <v>68.8</v>
      </c>
      <c r="G35" s="2">
        <v>1127</v>
      </c>
    </row>
    <row r="36" spans="1:7" ht="12.75">
      <c r="A36" s="1" t="s">
        <v>129</v>
      </c>
      <c r="B36" s="2">
        <v>1.43</v>
      </c>
      <c r="C36" s="4">
        <v>1E-05</v>
      </c>
      <c r="D36" s="4">
        <v>0.2613</v>
      </c>
      <c r="E36" s="2" t="s">
        <v>431</v>
      </c>
      <c r="F36" s="2">
        <v>68.8</v>
      </c>
      <c r="G36" s="2">
        <v>900</v>
      </c>
    </row>
    <row r="37" spans="1:7" ht="12.75">
      <c r="A37" s="1" t="s">
        <v>136</v>
      </c>
      <c r="B37" s="2">
        <v>1.63</v>
      </c>
      <c r="C37" s="4">
        <v>0.0014</v>
      </c>
      <c r="D37" s="4">
        <v>0.1635</v>
      </c>
      <c r="E37" s="2" t="s">
        <v>431</v>
      </c>
      <c r="F37" s="2">
        <v>74</v>
      </c>
      <c r="G37" s="2">
        <v>2300</v>
      </c>
    </row>
    <row r="38" spans="1:7" ht="12.75">
      <c r="A38" s="1" t="s">
        <v>140</v>
      </c>
      <c r="B38" s="2">
        <v>1.51</v>
      </c>
      <c r="C38" s="4">
        <v>0.0037</v>
      </c>
      <c r="D38" s="4">
        <v>0.2243</v>
      </c>
      <c r="E38" s="2" t="s">
        <v>431</v>
      </c>
      <c r="F38" s="2">
        <v>74</v>
      </c>
      <c r="G38" s="2">
        <v>1550</v>
      </c>
    </row>
    <row r="39" spans="1:7" ht="12.75">
      <c r="A39" s="1" t="s">
        <v>143</v>
      </c>
      <c r="B39" s="2">
        <v>1.41</v>
      </c>
      <c r="C39" s="4">
        <v>0.0029000000000000002</v>
      </c>
      <c r="D39" s="4">
        <v>0.27399999999999997</v>
      </c>
      <c r="E39" s="2" t="s">
        <v>431</v>
      </c>
      <c r="F39" s="2">
        <v>73</v>
      </c>
      <c r="G39" s="2">
        <v>1180</v>
      </c>
    </row>
    <row r="40" spans="1:7" ht="12.75">
      <c r="A40" s="1" t="s">
        <v>147</v>
      </c>
      <c r="B40" s="2">
        <v>1.45</v>
      </c>
      <c r="C40" s="4">
        <v>0.0012000000000000001</v>
      </c>
      <c r="D40" s="4">
        <v>0.25129999999999997</v>
      </c>
      <c r="E40" s="2" t="s">
        <v>431</v>
      </c>
      <c r="F40" s="2">
        <v>72</v>
      </c>
      <c r="G40" s="2">
        <v>960</v>
      </c>
    </row>
    <row r="41" spans="1:7" ht="12.75">
      <c r="A41" s="1" t="s">
        <v>178</v>
      </c>
      <c r="B41" s="2">
        <v>1.54</v>
      </c>
      <c r="C41" s="4">
        <v>0.0021000000000000003</v>
      </c>
      <c r="D41" s="4">
        <v>0.2075</v>
      </c>
      <c r="E41" s="2" t="s">
        <v>431</v>
      </c>
      <c r="F41" s="2">
        <v>88</v>
      </c>
      <c r="G41" s="2">
        <v>1860</v>
      </c>
    </row>
    <row r="42" spans="1:7" ht="12.75">
      <c r="A42" s="138" t="s">
        <v>443</v>
      </c>
      <c r="B42" s="139">
        <f>AVERAGE(B15:B41)</f>
        <v>1.4055555555555554</v>
      </c>
      <c r="C42" s="4">
        <f>AVERAGE(C15:C41)</f>
        <v>0.0019262962962962964</v>
      </c>
      <c r="D42" s="4">
        <f>AVERAGE(D15:D41)</f>
        <v>0.2756925925925926</v>
      </c>
      <c r="F42" s="139">
        <f>AVERAGE(F15:F41)</f>
        <v>54.25925925925926</v>
      </c>
      <c r="G42" s="139">
        <f>AVERAGE(G15:G41)</f>
        <v>1438.037037037037</v>
      </c>
    </row>
    <row r="43" spans="1:7" ht="12.75">
      <c r="A43" s="138" t="s">
        <v>444</v>
      </c>
      <c r="B43" s="2">
        <f>MEDIAN(B15:B41)</f>
        <v>1.41</v>
      </c>
      <c r="C43" s="4">
        <f>MEDIAN(C15:C41)</f>
        <v>0.0021000000000000003</v>
      </c>
      <c r="D43" s="4">
        <f>MEDIAN(D15:D41)</f>
        <v>0.27399999999999997</v>
      </c>
      <c r="F43" s="2">
        <f>MEDIAN(F15:F41)</f>
        <v>58</v>
      </c>
      <c r="G43" s="2">
        <f>MEDIAN(G15:G41)</f>
        <v>1350</v>
      </c>
    </row>
    <row r="45" spans="1:7" ht="12.75">
      <c r="A45" s="20" t="s">
        <v>69</v>
      </c>
      <c r="B45" s="16">
        <v>1.43</v>
      </c>
      <c r="C45" s="22">
        <v>0.0005</v>
      </c>
      <c r="D45" s="22">
        <v>0.1788</v>
      </c>
      <c r="E45" s="16" t="s">
        <v>432</v>
      </c>
      <c r="F45" s="16">
        <v>47</v>
      </c>
      <c r="G45" s="16">
        <v>1180</v>
      </c>
    </row>
    <row r="46" spans="1:7" ht="12.75">
      <c r="A46" s="20" t="s">
        <v>85</v>
      </c>
      <c r="B46" s="16">
        <v>1.46</v>
      </c>
      <c r="C46" s="22">
        <v>0.0006000000000000001</v>
      </c>
      <c r="D46" s="22">
        <v>0.16879999999999998</v>
      </c>
      <c r="E46" s="16" t="s">
        <v>432</v>
      </c>
      <c r="F46" s="16">
        <v>58</v>
      </c>
      <c r="G46" s="16">
        <v>960</v>
      </c>
    </row>
    <row r="47" spans="1:7" ht="12.75">
      <c r="A47" s="20" t="s">
        <v>90</v>
      </c>
      <c r="B47" s="16">
        <v>1.37</v>
      </c>
      <c r="C47" s="22">
        <v>0.0015</v>
      </c>
      <c r="D47" s="22">
        <v>0.2005</v>
      </c>
      <c r="E47" s="16" t="s">
        <v>432</v>
      </c>
      <c r="F47" s="16">
        <v>58</v>
      </c>
      <c r="G47" s="16">
        <v>885</v>
      </c>
    </row>
    <row r="48" spans="1:7" ht="12.75">
      <c r="A48" s="20" t="s">
        <v>111</v>
      </c>
      <c r="B48" s="16">
        <v>1.56</v>
      </c>
      <c r="C48" s="22">
        <v>-1E-06</v>
      </c>
      <c r="D48" s="22">
        <v>0.1348</v>
      </c>
      <c r="E48" s="16" t="s">
        <v>432</v>
      </c>
      <c r="F48" s="16">
        <v>60</v>
      </c>
      <c r="G48" s="16">
        <v>2000</v>
      </c>
    </row>
    <row r="49" spans="1:7" ht="12.75">
      <c r="A49" s="20" t="s">
        <v>116</v>
      </c>
      <c r="B49" s="16">
        <v>1.62</v>
      </c>
      <c r="C49" s="22">
        <v>0.0022</v>
      </c>
      <c r="D49" s="22">
        <v>0.11800000000000001</v>
      </c>
      <c r="E49" s="16" t="s">
        <v>432</v>
      </c>
      <c r="F49" s="16">
        <v>61</v>
      </c>
      <c r="G49" s="16">
        <v>1350</v>
      </c>
    </row>
    <row r="50" spans="1:7" ht="12.75">
      <c r="A50" s="20" t="s">
        <v>121</v>
      </c>
      <c r="B50" s="16">
        <v>1.44</v>
      </c>
      <c r="C50" s="22">
        <v>0.0006000000000000001</v>
      </c>
      <c r="D50" s="22">
        <v>0.17550000000000002</v>
      </c>
      <c r="E50" s="16" t="s">
        <v>432</v>
      </c>
      <c r="F50" s="16">
        <v>61</v>
      </c>
      <c r="G50" s="16">
        <v>950</v>
      </c>
    </row>
    <row r="51" spans="1:7" ht="12.75">
      <c r="A51" s="20" t="s">
        <v>129</v>
      </c>
      <c r="B51" s="16">
        <v>1.45</v>
      </c>
      <c r="C51" s="22">
        <v>0.0007</v>
      </c>
      <c r="D51" s="22">
        <v>0.0682</v>
      </c>
      <c r="E51" s="16" t="s">
        <v>432</v>
      </c>
      <c r="F51" s="16">
        <v>68.8</v>
      </c>
      <c r="G51" s="16">
        <v>900</v>
      </c>
    </row>
    <row r="52" spans="1:7" ht="12.75">
      <c r="A52" s="20" t="s">
        <v>136</v>
      </c>
      <c r="B52" s="16">
        <v>1.55</v>
      </c>
      <c r="C52" s="22">
        <v>0.0005</v>
      </c>
      <c r="D52" s="22">
        <v>0.1388</v>
      </c>
      <c r="E52" s="16" t="s">
        <v>432</v>
      </c>
      <c r="F52" s="16">
        <v>74</v>
      </c>
      <c r="G52" s="16">
        <v>2300</v>
      </c>
    </row>
    <row r="53" spans="1:7" ht="12.75">
      <c r="A53" s="20" t="s">
        <v>140</v>
      </c>
      <c r="B53" s="16">
        <v>1.6</v>
      </c>
      <c r="C53" s="22">
        <v>0.0008</v>
      </c>
      <c r="D53" s="22">
        <v>0.1229</v>
      </c>
      <c r="E53" s="16" t="s">
        <v>432</v>
      </c>
      <c r="F53" s="16">
        <v>74</v>
      </c>
      <c r="G53" s="16">
        <v>1550</v>
      </c>
    </row>
    <row r="54" spans="1:7" ht="12.75">
      <c r="A54" s="20" t="s">
        <v>143</v>
      </c>
      <c r="B54" s="16">
        <v>1.5</v>
      </c>
      <c r="C54" s="22">
        <v>0.0008</v>
      </c>
      <c r="D54" s="22">
        <v>0.15560000000000002</v>
      </c>
      <c r="E54" s="16" t="s">
        <v>432</v>
      </c>
      <c r="F54" s="16">
        <v>73</v>
      </c>
      <c r="G54" s="16">
        <v>1180</v>
      </c>
    </row>
    <row r="55" spans="1:7" ht="12.75">
      <c r="A55" s="20" t="s">
        <v>172</v>
      </c>
      <c r="B55" s="16">
        <v>1.66</v>
      </c>
      <c r="C55" s="22">
        <v>0.0001</v>
      </c>
      <c r="D55" s="22">
        <v>0.10279999999999999</v>
      </c>
      <c r="E55" s="16" t="s">
        <v>432</v>
      </c>
      <c r="F55" s="16">
        <v>80.5</v>
      </c>
      <c r="G55" s="16">
        <v>1330</v>
      </c>
    </row>
    <row r="56" spans="1:7" ht="12.75">
      <c r="A56" s="20" t="s">
        <v>174</v>
      </c>
      <c r="B56" s="16">
        <v>1.6</v>
      </c>
      <c r="C56" s="22">
        <v>0.0008</v>
      </c>
      <c r="D56" s="22">
        <v>0.1229</v>
      </c>
      <c r="E56" s="16" t="s">
        <v>432</v>
      </c>
      <c r="F56" s="16">
        <v>80.5</v>
      </c>
      <c r="G56" s="16">
        <v>1130</v>
      </c>
    </row>
    <row r="57" spans="1:7" ht="12.75">
      <c r="A57" s="20" t="s">
        <v>176</v>
      </c>
      <c r="B57" s="16">
        <v>1.52</v>
      </c>
      <c r="C57" s="22">
        <v>0.0008</v>
      </c>
      <c r="D57" s="22">
        <v>0.149</v>
      </c>
      <c r="E57" s="16" t="s">
        <v>432</v>
      </c>
      <c r="F57" s="16">
        <v>80.5</v>
      </c>
      <c r="G57" s="16">
        <v>1000</v>
      </c>
    </row>
    <row r="58" spans="1:7" ht="12.75">
      <c r="A58" s="20" t="s">
        <v>178</v>
      </c>
      <c r="B58" s="16">
        <v>1.58</v>
      </c>
      <c r="C58" s="22">
        <v>0.0001</v>
      </c>
      <c r="D58" s="22">
        <v>0.1285</v>
      </c>
      <c r="E58" s="16" t="s">
        <v>432</v>
      </c>
      <c r="F58" s="16">
        <v>88</v>
      </c>
      <c r="G58" s="16">
        <v>1860</v>
      </c>
    </row>
    <row r="59" spans="1:7" ht="12.75">
      <c r="A59" s="20" t="s">
        <v>182</v>
      </c>
      <c r="B59" s="16">
        <v>1.65</v>
      </c>
      <c r="C59" s="22">
        <v>0.0027</v>
      </c>
      <c r="D59" s="22">
        <v>0.109</v>
      </c>
      <c r="E59" s="16" t="s">
        <v>432</v>
      </c>
      <c r="F59" s="16">
        <v>88</v>
      </c>
      <c r="G59" s="16">
        <v>1500</v>
      </c>
    </row>
    <row r="60" spans="1:7" ht="12.75">
      <c r="A60" s="20" t="s">
        <v>185</v>
      </c>
      <c r="B60" s="16">
        <v>1.33</v>
      </c>
      <c r="C60" s="22">
        <v>0.0025</v>
      </c>
      <c r="D60" s="22">
        <v>0.21559999999999999</v>
      </c>
      <c r="E60" s="16" t="s">
        <v>432</v>
      </c>
      <c r="F60" s="16">
        <v>88</v>
      </c>
      <c r="G60" s="16">
        <v>1250</v>
      </c>
    </row>
    <row r="61" spans="1:7" ht="12.75">
      <c r="A61" s="20" t="s">
        <v>187</v>
      </c>
      <c r="B61" s="16">
        <v>1.47</v>
      </c>
      <c r="C61" s="22">
        <v>0.0005</v>
      </c>
      <c r="D61" s="22">
        <v>0.16519999999999999</v>
      </c>
      <c r="E61" s="16" t="s">
        <v>432</v>
      </c>
      <c r="F61" s="16">
        <v>88</v>
      </c>
      <c r="G61" s="16">
        <v>940</v>
      </c>
    </row>
    <row r="62" spans="1:7" ht="12.75">
      <c r="A62" s="20" t="s">
        <v>189</v>
      </c>
      <c r="B62" s="16">
        <v>1.61</v>
      </c>
      <c r="C62" s="22">
        <v>0.0026000000000000003</v>
      </c>
      <c r="D62" s="22">
        <v>0.1216</v>
      </c>
      <c r="E62" s="16" t="s">
        <v>432</v>
      </c>
      <c r="F62" s="16">
        <v>95</v>
      </c>
      <c r="G62" s="16">
        <v>1220</v>
      </c>
    </row>
    <row r="63" spans="1:7" ht="12.75">
      <c r="A63" s="20" t="s">
        <v>191</v>
      </c>
      <c r="B63" s="16">
        <v>1.65</v>
      </c>
      <c r="C63" s="22">
        <v>0.0018000000000000002</v>
      </c>
      <c r="D63" s="22">
        <v>0.1079</v>
      </c>
      <c r="E63" s="22" t="s">
        <v>432</v>
      </c>
      <c r="F63" s="16">
        <v>95</v>
      </c>
      <c r="G63" s="16">
        <v>1090</v>
      </c>
    </row>
    <row r="64" spans="1:7" ht="12.75">
      <c r="A64" s="129" t="s">
        <v>211</v>
      </c>
      <c r="B64" s="130">
        <v>1.86</v>
      </c>
      <c r="C64" s="131">
        <v>0.0024000000000000002</v>
      </c>
      <c r="D64" s="131">
        <v>0.0435</v>
      </c>
      <c r="E64" s="131" t="s">
        <v>432</v>
      </c>
      <c r="F64" s="16">
        <v>109</v>
      </c>
      <c r="G64" s="16">
        <v>1700</v>
      </c>
    </row>
    <row r="65" spans="1:7" ht="12.75">
      <c r="A65" s="129" t="s">
        <v>214</v>
      </c>
      <c r="B65" s="130">
        <v>1.8</v>
      </c>
      <c r="C65" s="131">
        <v>0.0031000000000000003</v>
      </c>
      <c r="D65" s="131">
        <v>0.0625</v>
      </c>
      <c r="E65" s="131" t="s">
        <v>432</v>
      </c>
      <c r="F65" s="16">
        <v>109</v>
      </c>
      <c r="G65" s="16">
        <v>1390</v>
      </c>
    </row>
    <row r="66" spans="1:7" ht="12.75">
      <c r="A66" s="129" t="s">
        <v>216</v>
      </c>
      <c r="B66" s="130">
        <v>1.7000000000000002</v>
      </c>
      <c r="C66" s="131">
        <v>0.00030000000000000003</v>
      </c>
      <c r="D66" s="131">
        <v>0.09050000000000001</v>
      </c>
      <c r="E66" s="131" t="s">
        <v>432</v>
      </c>
      <c r="F66" s="16">
        <v>109</v>
      </c>
      <c r="G66" s="16">
        <v>1050</v>
      </c>
    </row>
    <row r="67" spans="1:7" ht="12.75">
      <c r="A67" s="20" t="s">
        <v>220</v>
      </c>
      <c r="B67" s="16">
        <v>1.58</v>
      </c>
      <c r="C67" s="22">
        <v>0.0015</v>
      </c>
      <c r="D67" s="22">
        <v>0.1301</v>
      </c>
      <c r="E67" s="22" t="s">
        <v>432</v>
      </c>
      <c r="F67" s="16">
        <v>109</v>
      </c>
      <c r="G67" s="16">
        <v>850</v>
      </c>
    </row>
    <row r="68" spans="1:7" ht="12.75">
      <c r="A68" s="20" t="s">
        <v>223</v>
      </c>
      <c r="B68" s="16">
        <v>1.82</v>
      </c>
      <c r="C68" s="22">
        <v>0.0024000000000000002</v>
      </c>
      <c r="D68" s="22">
        <v>0.0557</v>
      </c>
      <c r="E68" s="22" t="s">
        <v>432</v>
      </c>
      <c r="F68" s="16">
        <v>129</v>
      </c>
      <c r="G68" s="16">
        <v>1220</v>
      </c>
    </row>
    <row r="69" spans="1:7" ht="12.75">
      <c r="A69" s="20" t="s">
        <v>226</v>
      </c>
      <c r="B69" s="16">
        <v>1.81</v>
      </c>
      <c r="C69" s="22">
        <v>0.0013000000000000002</v>
      </c>
      <c r="D69" s="22">
        <v>0.0576</v>
      </c>
      <c r="E69" s="22" t="s">
        <v>432</v>
      </c>
      <c r="F69" s="16">
        <v>129</v>
      </c>
      <c r="G69" s="16">
        <v>1040</v>
      </c>
    </row>
    <row r="70" spans="1:7" ht="12.75">
      <c r="A70" s="20" t="s">
        <v>227</v>
      </c>
      <c r="B70" s="16">
        <v>1.82</v>
      </c>
      <c r="C70" s="22">
        <v>0.0019</v>
      </c>
      <c r="D70" s="22">
        <v>0.055099999999999996</v>
      </c>
      <c r="E70" s="22" t="s">
        <v>432</v>
      </c>
      <c r="F70" s="16">
        <v>129</v>
      </c>
      <c r="G70" s="16">
        <v>830</v>
      </c>
    </row>
    <row r="71" spans="1:7" ht="12.75">
      <c r="A71" s="20" t="s">
        <v>229</v>
      </c>
      <c r="B71" s="16">
        <v>1.78</v>
      </c>
      <c r="C71" s="22">
        <v>0.0019</v>
      </c>
      <c r="D71" s="22">
        <v>-0.0392</v>
      </c>
      <c r="E71" s="22" t="s">
        <v>432</v>
      </c>
      <c r="F71" s="16">
        <v>139</v>
      </c>
      <c r="G71" s="16">
        <v>1450</v>
      </c>
    </row>
    <row r="72" spans="1:7" ht="12.75">
      <c r="A72" s="20" t="s">
        <v>233</v>
      </c>
      <c r="B72" s="16">
        <v>1.79</v>
      </c>
      <c r="C72" s="22">
        <v>0.0005</v>
      </c>
      <c r="D72" s="22">
        <v>0.06280000000000001</v>
      </c>
      <c r="E72" s="22" t="s">
        <v>432</v>
      </c>
      <c r="F72" s="16">
        <v>142</v>
      </c>
      <c r="G72" s="16">
        <v>1170</v>
      </c>
    </row>
    <row r="73" spans="1:7" ht="12.75">
      <c r="A73" s="20" t="s">
        <v>236</v>
      </c>
      <c r="B73" s="16">
        <v>1.65</v>
      </c>
      <c r="C73" s="22">
        <v>0.002</v>
      </c>
      <c r="D73" s="22">
        <v>0.1082</v>
      </c>
      <c r="E73" s="22" t="s">
        <v>432</v>
      </c>
      <c r="F73" s="16">
        <v>138</v>
      </c>
      <c r="G73" s="16">
        <v>970</v>
      </c>
    </row>
    <row r="74" spans="1:7" ht="12.75">
      <c r="A74" s="20" t="s">
        <v>240</v>
      </c>
      <c r="B74" s="16">
        <v>1.59</v>
      </c>
      <c r="C74" s="22">
        <v>0.0027</v>
      </c>
      <c r="D74" s="22">
        <v>0.1282</v>
      </c>
      <c r="E74" s="22" t="s">
        <v>432</v>
      </c>
      <c r="F74" s="16">
        <v>140</v>
      </c>
      <c r="G74" s="16">
        <v>840</v>
      </c>
    </row>
    <row r="75" spans="1:7" ht="12.75">
      <c r="A75" s="20" t="s">
        <v>248</v>
      </c>
      <c r="B75" s="16">
        <v>1.6</v>
      </c>
      <c r="C75" s="22">
        <v>0.0001</v>
      </c>
      <c r="D75" s="22">
        <v>0.12210000000000001</v>
      </c>
      <c r="E75" s="22" t="s">
        <v>432</v>
      </c>
      <c r="F75" s="16">
        <v>141</v>
      </c>
      <c r="G75" s="16">
        <v>1200</v>
      </c>
    </row>
    <row r="76" spans="1:7" ht="12.75">
      <c r="A76" s="20" t="s">
        <v>252</v>
      </c>
      <c r="B76" s="16">
        <v>1.53</v>
      </c>
      <c r="C76" s="22">
        <v>0.0007</v>
      </c>
      <c r="D76" s="22">
        <v>0.14550000000000002</v>
      </c>
      <c r="E76" s="22" t="s">
        <v>432</v>
      </c>
      <c r="F76" s="16">
        <v>141</v>
      </c>
      <c r="G76" s="16">
        <v>1000</v>
      </c>
    </row>
    <row r="77" spans="1:7" ht="12.75">
      <c r="A77" s="20" t="s">
        <v>255</v>
      </c>
      <c r="B77" s="16">
        <v>1.51</v>
      </c>
      <c r="C77" s="22">
        <v>0.0015</v>
      </c>
      <c r="D77" s="22">
        <v>0.1531</v>
      </c>
      <c r="E77" s="22" t="s">
        <v>432</v>
      </c>
      <c r="F77" s="16">
        <v>141</v>
      </c>
      <c r="G77" s="16">
        <v>820</v>
      </c>
    </row>
    <row r="78" spans="1:7" ht="12.75">
      <c r="A78" s="20" t="s">
        <v>269</v>
      </c>
      <c r="B78" s="16">
        <v>1.85</v>
      </c>
      <c r="C78" s="22">
        <v>0.0028</v>
      </c>
      <c r="D78" s="22">
        <v>0.047</v>
      </c>
      <c r="E78" s="22" t="s">
        <v>432</v>
      </c>
      <c r="F78" s="16">
        <v>166</v>
      </c>
      <c r="G78" s="16">
        <v>1110</v>
      </c>
    </row>
    <row r="79" spans="1:7" ht="12.75">
      <c r="A79" s="20" t="s">
        <v>271</v>
      </c>
      <c r="B79" s="16">
        <v>1.62</v>
      </c>
      <c r="C79" s="22">
        <v>0.00030000000000000003</v>
      </c>
      <c r="D79" s="22">
        <v>0.1158</v>
      </c>
      <c r="E79" s="22" t="s">
        <v>432</v>
      </c>
      <c r="F79" s="16">
        <v>166</v>
      </c>
      <c r="G79" s="16">
        <v>890</v>
      </c>
    </row>
    <row r="80" spans="1:7" ht="12.75">
      <c r="A80" s="20" t="s">
        <v>272</v>
      </c>
      <c r="B80" s="16">
        <v>1.79</v>
      </c>
      <c r="C80" s="22">
        <v>0.0011</v>
      </c>
      <c r="D80" s="22">
        <v>0.0635</v>
      </c>
      <c r="E80" s="22" t="s">
        <v>432</v>
      </c>
      <c r="F80" s="16">
        <v>166</v>
      </c>
      <c r="G80" s="16">
        <v>780</v>
      </c>
    </row>
    <row r="81" spans="1:7" ht="12.75">
      <c r="A81" s="20" t="s">
        <v>274</v>
      </c>
      <c r="B81" s="16">
        <v>1.85</v>
      </c>
      <c r="C81" s="22">
        <v>0.0007</v>
      </c>
      <c r="D81" s="22">
        <v>0.044800000000000006</v>
      </c>
      <c r="E81" s="22" t="s">
        <v>432</v>
      </c>
      <c r="F81" s="16">
        <v>171</v>
      </c>
      <c r="G81" s="16">
        <v>1470</v>
      </c>
    </row>
    <row r="82" spans="1:7" ht="12.75">
      <c r="A82" s="20" t="s">
        <v>277</v>
      </c>
      <c r="B82" s="16">
        <v>1.78</v>
      </c>
      <c r="C82" s="22">
        <v>0.0008</v>
      </c>
      <c r="D82" s="22">
        <v>0.0662</v>
      </c>
      <c r="E82" s="22" t="s">
        <v>432</v>
      </c>
      <c r="F82" s="16">
        <v>171</v>
      </c>
      <c r="G82" s="16">
        <v>1130</v>
      </c>
    </row>
    <row r="83" spans="1:7" ht="12.75">
      <c r="A83" s="20" t="s">
        <v>279</v>
      </c>
      <c r="B83" s="16">
        <v>1.66</v>
      </c>
      <c r="C83" s="22">
        <v>0.0026000000000000003</v>
      </c>
      <c r="D83" s="22">
        <v>0.1056</v>
      </c>
      <c r="E83" s="22" t="s">
        <v>432</v>
      </c>
      <c r="F83" s="16">
        <v>171</v>
      </c>
      <c r="G83" s="16">
        <v>930</v>
      </c>
    </row>
    <row r="84" spans="1:7" ht="12.75">
      <c r="A84" s="20" t="s">
        <v>282</v>
      </c>
      <c r="B84" s="16">
        <v>1.6</v>
      </c>
      <c r="C84" s="22">
        <v>0.00030000000000000003</v>
      </c>
      <c r="D84" s="22">
        <v>0.1223</v>
      </c>
      <c r="E84" s="22" t="s">
        <v>432</v>
      </c>
      <c r="F84" s="16">
        <v>171</v>
      </c>
      <c r="G84" s="16">
        <v>760</v>
      </c>
    </row>
    <row r="85" spans="1:7" ht="12.75">
      <c r="A85" s="20" t="s">
        <v>295</v>
      </c>
      <c r="B85" s="16">
        <v>1.56</v>
      </c>
      <c r="C85" s="22">
        <v>0.0016</v>
      </c>
      <c r="D85" s="22">
        <v>0.1367</v>
      </c>
      <c r="E85" s="22" t="s">
        <v>432</v>
      </c>
      <c r="F85" s="16">
        <v>178</v>
      </c>
      <c r="G85" s="16">
        <v>1100</v>
      </c>
    </row>
    <row r="86" spans="1:7" ht="12.75">
      <c r="A86" s="20" t="s">
        <v>296</v>
      </c>
      <c r="B86" s="16">
        <v>1.53</v>
      </c>
      <c r="C86" s="22">
        <v>0.0012000000000000001</v>
      </c>
      <c r="D86" s="22">
        <v>0.1462</v>
      </c>
      <c r="E86" s="22" t="s">
        <v>432</v>
      </c>
      <c r="F86" s="16">
        <v>178</v>
      </c>
      <c r="G86" s="16">
        <v>950</v>
      </c>
    </row>
    <row r="87" spans="1:7" ht="12.75">
      <c r="A87" s="20" t="s">
        <v>298</v>
      </c>
      <c r="B87" s="16">
        <v>1.51</v>
      </c>
      <c r="C87" s="22">
        <v>0.0007</v>
      </c>
      <c r="D87" s="22">
        <v>0.1522</v>
      </c>
      <c r="E87" s="22" t="s">
        <v>432</v>
      </c>
      <c r="F87" s="16">
        <v>178</v>
      </c>
      <c r="G87" s="16">
        <v>740</v>
      </c>
    </row>
    <row r="88" spans="1:7" ht="12.75">
      <c r="A88" s="20" t="s">
        <v>304</v>
      </c>
      <c r="B88" s="16">
        <v>1.78</v>
      </c>
      <c r="C88" s="22">
        <v>0.002</v>
      </c>
      <c r="D88" s="22">
        <v>0.0674</v>
      </c>
      <c r="E88" s="22" t="s">
        <v>432</v>
      </c>
      <c r="F88" s="16">
        <v>205</v>
      </c>
      <c r="G88" s="16">
        <v>890</v>
      </c>
    </row>
    <row r="89" spans="1:7" ht="12.75">
      <c r="A89" s="20" t="s">
        <v>307</v>
      </c>
      <c r="B89" s="16">
        <v>1.67</v>
      </c>
      <c r="C89" s="22">
        <v>0.0022</v>
      </c>
      <c r="D89" s="22">
        <v>0.102</v>
      </c>
      <c r="E89" s="22" t="s">
        <v>432</v>
      </c>
      <c r="F89" s="16">
        <v>205</v>
      </c>
      <c r="G89" s="16">
        <v>710</v>
      </c>
    </row>
    <row r="90" spans="1:7" ht="12.75">
      <c r="A90" s="20" t="s">
        <v>309</v>
      </c>
      <c r="B90" s="16">
        <v>1.56</v>
      </c>
      <c r="C90" s="22">
        <v>0.0024000000000000002</v>
      </c>
      <c r="D90" s="22">
        <v>0.1376</v>
      </c>
      <c r="E90" s="22" t="s">
        <v>432</v>
      </c>
      <c r="F90" s="16">
        <v>210</v>
      </c>
      <c r="G90" s="16">
        <v>980</v>
      </c>
    </row>
    <row r="91" spans="1:7" ht="12.75">
      <c r="A91" s="20" t="s">
        <v>311</v>
      </c>
      <c r="B91" s="16">
        <v>1.56</v>
      </c>
      <c r="C91" s="22">
        <v>0.002</v>
      </c>
      <c r="D91" s="22">
        <v>0.13720000000000002</v>
      </c>
      <c r="E91" s="22" t="s">
        <v>432</v>
      </c>
      <c r="F91" s="16">
        <v>216</v>
      </c>
      <c r="G91" s="16">
        <v>820</v>
      </c>
    </row>
    <row r="92" spans="1:7" ht="12.75">
      <c r="A92" s="20" t="s">
        <v>315</v>
      </c>
      <c r="B92" s="16">
        <v>1.53</v>
      </c>
      <c r="C92" s="22">
        <v>0.0027</v>
      </c>
      <c r="D92" s="22">
        <v>0.1478</v>
      </c>
      <c r="E92" s="22" t="s">
        <v>432</v>
      </c>
      <c r="F92" s="16">
        <v>216</v>
      </c>
      <c r="G92" s="16">
        <v>700</v>
      </c>
    </row>
    <row r="93" spans="1:7" ht="12.75">
      <c r="A93" s="20" t="s">
        <v>326</v>
      </c>
      <c r="B93" s="16">
        <v>1.57</v>
      </c>
      <c r="C93" s="22">
        <v>0.0012000000000000001</v>
      </c>
      <c r="D93" s="22">
        <v>0.1331</v>
      </c>
      <c r="E93" s="22" t="s">
        <v>432</v>
      </c>
      <c r="F93" s="16">
        <v>253</v>
      </c>
      <c r="G93" s="16">
        <v>780</v>
      </c>
    </row>
    <row r="94" spans="1:7" ht="12.75">
      <c r="A94" s="20" t="s">
        <v>369</v>
      </c>
      <c r="B94" s="16">
        <v>1.73</v>
      </c>
      <c r="C94" s="22">
        <v>0.0005</v>
      </c>
      <c r="D94" s="22">
        <v>0.08130000000000001</v>
      </c>
      <c r="E94" s="22" t="s">
        <v>432</v>
      </c>
      <c r="F94" s="16">
        <v>293</v>
      </c>
      <c r="G94" s="16">
        <v>850</v>
      </c>
    </row>
    <row r="95" spans="1:7" ht="12.75">
      <c r="A95" s="140" t="s">
        <v>443</v>
      </c>
      <c r="B95" s="141">
        <f>AVERAGE(B45:B94)</f>
        <v>1.6208000000000005</v>
      </c>
      <c r="C95" s="22"/>
      <c r="D95" s="22"/>
      <c r="E95" s="22"/>
      <c r="F95" s="141">
        <f>AVERAGE(F45:F94)</f>
        <v>130.746</v>
      </c>
      <c r="G95" s="16"/>
    </row>
    <row r="96" spans="1:7" ht="12.75">
      <c r="A96" s="140" t="s">
        <v>444</v>
      </c>
      <c r="B96" s="141">
        <f>MEDIAN(B45:B94)</f>
        <v>1.6</v>
      </c>
      <c r="C96" s="22"/>
      <c r="D96" s="22"/>
      <c r="E96" s="22"/>
      <c r="F96" s="141">
        <f>MEDIAN(F45:F94)</f>
        <v>129</v>
      </c>
      <c r="G96" s="16"/>
    </row>
    <row r="98" spans="1:7" ht="12.75">
      <c r="A98" s="69" t="s">
        <v>333</v>
      </c>
      <c r="B98" s="133">
        <v>1.57</v>
      </c>
      <c r="C98" s="134">
        <v>0</v>
      </c>
      <c r="D98" s="134">
        <v>0.1007</v>
      </c>
      <c r="E98" s="133" t="s">
        <v>436</v>
      </c>
      <c r="F98" s="133">
        <v>253</v>
      </c>
      <c r="G98" s="133">
        <v>560</v>
      </c>
    </row>
    <row r="99" spans="1:7" ht="12.75">
      <c r="A99" s="132" t="s">
        <v>216</v>
      </c>
      <c r="B99" s="133">
        <v>1.81</v>
      </c>
      <c r="C99" s="134">
        <v>0</v>
      </c>
      <c r="D99" s="134">
        <v>0.0433</v>
      </c>
      <c r="E99" s="133" t="s">
        <v>436</v>
      </c>
      <c r="F99" s="133">
        <v>109</v>
      </c>
      <c r="G99" s="133">
        <v>1050</v>
      </c>
    </row>
    <row r="100" spans="1:7" ht="12.75">
      <c r="A100" s="69" t="s">
        <v>220</v>
      </c>
      <c r="B100" s="133">
        <v>1.72</v>
      </c>
      <c r="C100" s="134">
        <v>0.0005</v>
      </c>
      <c r="D100" s="134">
        <v>0.065</v>
      </c>
      <c r="E100" s="133" t="s">
        <v>436</v>
      </c>
      <c r="F100" s="133">
        <v>109</v>
      </c>
      <c r="G100" s="133">
        <v>850</v>
      </c>
    </row>
    <row r="101" spans="1:7" ht="12.75">
      <c r="A101" s="69" t="s">
        <v>229</v>
      </c>
      <c r="B101" s="133">
        <v>1.96</v>
      </c>
      <c r="C101" s="134">
        <v>0.0015</v>
      </c>
      <c r="D101" s="134">
        <v>0.0105</v>
      </c>
      <c r="E101" s="133" t="s">
        <v>436</v>
      </c>
      <c r="F101" s="133">
        <v>139</v>
      </c>
      <c r="G101" s="133">
        <v>1450</v>
      </c>
    </row>
    <row r="102" spans="1:7" ht="12.75">
      <c r="A102" s="69" t="s">
        <v>233</v>
      </c>
      <c r="B102" s="133">
        <v>1.82</v>
      </c>
      <c r="C102" s="134">
        <v>0.0005</v>
      </c>
      <c r="D102" s="134">
        <v>0.0415</v>
      </c>
      <c r="E102" s="133" t="s">
        <v>436</v>
      </c>
      <c r="F102" s="133">
        <v>142</v>
      </c>
      <c r="G102" s="133">
        <v>1170</v>
      </c>
    </row>
    <row r="103" spans="1:7" ht="12.75">
      <c r="A103" s="69" t="s">
        <v>236</v>
      </c>
      <c r="B103" s="133">
        <v>1.83</v>
      </c>
      <c r="C103" s="134">
        <v>0.00030000000000000003</v>
      </c>
      <c r="D103" s="134">
        <v>0.039</v>
      </c>
      <c r="E103" s="133" t="s">
        <v>436</v>
      </c>
      <c r="F103" s="133">
        <v>138</v>
      </c>
      <c r="G103" s="133">
        <v>970</v>
      </c>
    </row>
    <row r="104" spans="1:7" ht="12.75">
      <c r="A104" s="69" t="s">
        <v>240</v>
      </c>
      <c r="B104" s="133">
        <v>1.73</v>
      </c>
      <c r="C104" s="134">
        <v>0.0014</v>
      </c>
      <c r="D104" s="134">
        <v>0.0636</v>
      </c>
      <c r="E104" s="133" t="s">
        <v>436</v>
      </c>
      <c r="F104" s="133">
        <v>140</v>
      </c>
      <c r="G104" s="133">
        <v>840</v>
      </c>
    </row>
    <row r="105" spans="1:7" ht="12.75">
      <c r="A105" s="69" t="s">
        <v>248</v>
      </c>
      <c r="B105" s="133">
        <v>1.67</v>
      </c>
      <c r="C105" s="134">
        <v>0.0009000000000000001</v>
      </c>
      <c r="D105" s="134">
        <v>0.0774</v>
      </c>
      <c r="E105" s="133" t="s">
        <v>436</v>
      </c>
      <c r="F105" s="133">
        <v>141</v>
      </c>
      <c r="G105" s="133">
        <v>1200</v>
      </c>
    </row>
    <row r="106" spans="1:7" ht="12.75">
      <c r="A106" s="69" t="s">
        <v>252</v>
      </c>
      <c r="B106" s="133">
        <v>1.63</v>
      </c>
      <c r="C106" s="134">
        <v>0.001</v>
      </c>
      <c r="D106" s="134">
        <v>0.0872</v>
      </c>
      <c r="E106" s="133" t="s">
        <v>436</v>
      </c>
      <c r="F106" s="133">
        <v>141</v>
      </c>
      <c r="G106" s="133">
        <v>1000</v>
      </c>
    </row>
    <row r="107" spans="1:7" ht="12.75">
      <c r="A107" s="69" t="s">
        <v>255</v>
      </c>
      <c r="B107" s="133">
        <v>1.58</v>
      </c>
      <c r="C107" s="134">
        <v>0.0001</v>
      </c>
      <c r="D107" s="134">
        <v>0.0984</v>
      </c>
      <c r="E107" s="133" t="s">
        <v>436</v>
      </c>
      <c r="F107" s="133">
        <v>141</v>
      </c>
      <c r="G107" s="133">
        <v>820</v>
      </c>
    </row>
    <row r="108" spans="1:7" ht="12.75">
      <c r="A108" s="69" t="s">
        <v>271</v>
      </c>
      <c r="B108" s="133">
        <v>1.82</v>
      </c>
      <c r="C108" s="134">
        <v>0.0013000000000000002</v>
      </c>
      <c r="D108" s="134">
        <v>0.0424</v>
      </c>
      <c r="E108" s="133" t="s">
        <v>436</v>
      </c>
      <c r="F108" s="133">
        <v>166</v>
      </c>
      <c r="G108" s="133">
        <v>890</v>
      </c>
    </row>
    <row r="109" spans="1:7" ht="12.75">
      <c r="A109" s="69" t="s">
        <v>272</v>
      </c>
      <c r="B109" s="133">
        <v>1.84</v>
      </c>
      <c r="C109" s="134">
        <v>0.0014</v>
      </c>
      <c r="D109" s="134">
        <v>0.0378</v>
      </c>
      <c r="E109" s="133" t="s">
        <v>436</v>
      </c>
      <c r="F109" s="133">
        <v>166</v>
      </c>
      <c r="G109" s="133">
        <v>780</v>
      </c>
    </row>
    <row r="110" spans="1:7" ht="12.75">
      <c r="A110" s="69" t="s">
        <v>277</v>
      </c>
      <c r="B110" s="133">
        <v>1.9</v>
      </c>
      <c r="C110" s="134">
        <v>0.0008</v>
      </c>
      <c r="D110" s="134">
        <v>0.023399999999999997</v>
      </c>
      <c r="E110" s="133" t="s">
        <v>436</v>
      </c>
      <c r="F110" s="133">
        <v>171</v>
      </c>
      <c r="G110" s="133">
        <v>1130</v>
      </c>
    </row>
    <row r="111" spans="1:7" ht="12.75">
      <c r="A111" s="69" t="s">
        <v>279</v>
      </c>
      <c r="B111" s="133">
        <v>1.6800000000000002</v>
      </c>
      <c r="C111" s="134">
        <v>0.00030000000000000003</v>
      </c>
      <c r="D111" s="134">
        <v>0.07440000000000001</v>
      </c>
      <c r="E111" s="133" t="s">
        <v>436</v>
      </c>
      <c r="F111" s="133">
        <v>171</v>
      </c>
      <c r="G111" s="133">
        <v>930</v>
      </c>
    </row>
    <row r="112" spans="1:7" ht="12.75">
      <c r="A112" s="69" t="s">
        <v>282</v>
      </c>
      <c r="B112" s="133">
        <v>1.69</v>
      </c>
      <c r="C112" s="134">
        <v>0.0018000000000000002</v>
      </c>
      <c r="D112" s="134">
        <v>0.0736</v>
      </c>
      <c r="E112" s="133" t="s">
        <v>436</v>
      </c>
      <c r="F112" s="133">
        <v>171</v>
      </c>
      <c r="G112" s="133">
        <v>760</v>
      </c>
    </row>
    <row r="113" spans="1:7" ht="12.75">
      <c r="A113" s="69" t="s">
        <v>295</v>
      </c>
      <c r="B113" s="133">
        <v>1.62</v>
      </c>
      <c r="C113" s="134">
        <v>0.0007</v>
      </c>
      <c r="D113" s="134">
        <v>0.08929999999999999</v>
      </c>
      <c r="E113" s="133" t="s">
        <v>436</v>
      </c>
      <c r="F113" s="133">
        <v>178</v>
      </c>
      <c r="G113" s="133">
        <v>1100</v>
      </c>
    </row>
    <row r="114" spans="1:7" ht="12.75">
      <c r="A114" s="69" t="s">
        <v>296</v>
      </c>
      <c r="B114" s="133">
        <v>1.62</v>
      </c>
      <c r="C114" s="134">
        <v>0.0007</v>
      </c>
      <c r="D114" s="134">
        <v>0.0892</v>
      </c>
      <c r="E114" s="133" t="s">
        <v>436</v>
      </c>
      <c r="F114" s="133">
        <v>178</v>
      </c>
      <c r="G114" s="133">
        <v>950</v>
      </c>
    </row>
    <row r="115" spans="1:7" ht="12.75">
      <c r="A115" s="69" t="s">
        <v>298</v>
      </c>
      <c r="B115" s="133">
        <v>1.55</v>
      </c>
      <c r="C115" s="134">
        <v>0.002</v>
      </c>
      <c r="D115" s="134">
        <v>0.10779999999999999</v>
      </c>
      <c r="E115" s="133" t="s">
        <v>436</v>
      </c>
      <c r="F115" s="133">
        <v>178</v>
      </c>
      <c r="G115" s="133">
        <v>740</v>
      </c>
    </row>
    <row r="116" spans="1:12" ht="12.75">
      <c r="A116" s="69" t="s">
        <v>307</v>
      </c>
      <c r="B116" s="133">
        <v>1.81</v>
      </c>
      <c r="C116" s="134">
        <v>0.002</v>
      </c>
      <c r="D116" s="134">
        <v>0.0454</v>
      </c>
      <c r="E116" s="133" t="s">
        <v>436</v>
      </c>
      <c r="F116" s="133">
        <v>205</v>
      </c>
      <c r="G116" s="133">
        <v>710</v>
      </c>
      <c r="I116" s="6" t="s">
        <v>450</v>
      </c>
      <c r="J116" s="6" t="s">
        <v>451</v>
      </c>
      <c r="K116" s="6" t="s">
        <v>452</v>
      </c>
      <c r="L116" s="6" t="s">
        <v>453</v>
      </c>
    </row>
    <row r="117" spans="1:12" ht="12.75">
      <c r="A117" s="69" t="s">
        <v>309</v>
      </c>
      <c r="B117" s="133">
        <v>1.58</v>
      </c>
      <c r="C117" s="134">
        <v>0.002</v>
      </c>
      <c r="D117" s="134">
        <v>0.1005</v>
      </c>
      <c r="E117" s="133" t="s">
        <v>436</v>
      </c>
      <c r="F117" s="133">
        <v>210</v>
      </c>
      <c r="G117" s="133">
        <v>980</v>
      </c>
      <c r="I117" s="14" t="s">
        <v>431</v>
      </c>
      <c r="J117" s="6" t="s">
        <v>454</v>
      </c>
      <c r="K117" s="6" t="s">
        <v>77</v>
      </c>
      <c r="L117" s="6" t="s">
        <v>455</v>
      </c>
    </row>
    <row r="118" spans="1:12" ht="12.75">
      <c r="A118" s="69" t="s">
        <v>311</v>
      </c>
      <c r="B118" s="133">
        <v>1.6</v>
      </c>
      <c r="C118" s="134">
        <v>0.0014</v>
      </c>
      <c r="D118" s="134">
        <v>0.0949</v>
      </c>
      <c r="E118" s="133" t="s">
        <v>436</v>
      </c>
      <c r="F118" s="133">
        <v>216</v>
      </c>
      <c r="G118" s="133">
        <v>820</v>
      </c>
      <c r="I118" s="6" t="s">
        <v>432</v>
      </c>
      <c r="J118" s="6" t="s">
        <v>456</v>
      </c>
      <c r="K118" s="6" t="s">
        <v>224</v>
      </c>
      <c r="L118" s="6">
        <v>130.8</v>
      </c>
    </row>
    <row r="119" spans="1:12" ht="12.75">
      <c r="A119" s="69" t="s">
        <v>315</v>
      </c>
      <c r="B119" s="133">
        <v>1.59</v>
      </c>
      <c r="C119" s="134">
        <v>0.0015</v>
      </c>
      <c r="D119" s="134">
        <v>0.0975</v>
      </c>
      <c r="E119" s="133" t="s">
        <v>436</v>
      </c>
      <c r="F119" s="133">
        <v>216</v>
      </c>
      <c r="G119" s="133">
        <v>700</v>
      </c>
      <c r="I119" s="6" t="s">
        <v>436</v>
      </c>
      <c r="J119" s="6" t="s">
        <v>457</v>
      </c>
      <c r="K119" s="6" t="s">
        <v>458</v>
      </c>
      <c r="L119" s="6" t="s">
        <v>305</v>
      </c>
    </row>
    <row r="120" spans="1:10" ht="12.75">
      <c r="A120" s="69" t="s">
        <v>323</v>
      </c>
      <c r="B120" s="133">
        <v>1.55</v>
      </c>
      <c r="C120" s="134">
        <v>0.0022</v>
      </c>
      <c r="D120" s="134">
        <v>0.1079</v>
      </c>
      <c r="E120" s="133" t="s">
        <v>436</v>
      </c>
      <c r="F120" s="133">
        <v>216</v>
      </c>
      <c r="G120" s="133">
        <v>550</v>
      </c>
      <c r="I120" s="6" t="s">
        <v>437</v>
      </c>
      <c r="J120" s="6" t="s">
        <v>459</v>
      </c>
    </row>
    <row r="121" spans="1:7" ht="12.75">
      <c r="A121" s="69" t="s">
        <v>326</v>
      </c>
      <c r="B121" s="133">
        <v>1.63</v>
      </c>
      <c r="C121" s="134">
        <v>0.0012000000000000001</v>
      </c>
      <c r="D121" s="134">
        <v>0.0874</v>
      </c>
      <c r="E121" s="133" t="s">
        <v>436</v>
      </c>
      <c r="F121" s="133">
        <v>253</v>
      </c>
      <c r="G121" s="133">
        <v>780</v>
      </c>
    </row>
    <row r="122" spans="1:7" ht="12.75">
      <c r="A122" s="69" t="s">
        <v>329</v>
      </c>
      <c r="B122" s="133">
        <v>1.62</v>
      </c>
      <c r="C122" s="134">
        <v>0.0007</v>
      </c>
      <c r="D122" s="134">
        <v>0.08929999999999999</v>
      </c>
      <c r="E122" s="133" t="s">
        <v>436</v>
      </c>
      <c r="F122" s="133">
        <v>253</v>
      </c>
      <c r="G122" s="133">
        <v>650</v>
      </c>
    </row>
    <row r="123" spans="1:7" ht="12.75">
      <c r="A123" s="69" t="s">
        <v>338</v>
      </c>
      <c r="B123" s="133">
        <v>1.49</v>
      </c>
      <c r="C123" s="134">
        <v>0.00030000000000000003</v>
      </c>
      <c r="D123" s="134">
        <v>0.1208</v>
      </c>
      <c r="E123" s="133" t="s">
        <v>436</v>
      </c>
      <c r="F123" s="133">
        <v>253</v>
      </c>
      <c r="G123" s="133">
        <v>430</v>
      </c>
    </row>
    <row r="124" spans="1:7" ht="12.75">
      <c r="A124" s="69" t="s">
        <v>351</v>
      </c>
      <c r="B124" s="133">
        <v>1.79</v>
      </c>
      <c r="C124" s="134">
        <v>0.0017000000000000001</v>
      </c>
      <c r="D124" s="134">
        <v>0.049699999999999994</v>
      </c>
      <c r="E124" s="133" t="s">
        <v>436</v>
      </c>
      <c r="F124" s="133">
        <v>288</v>
      </c>
      <c r="G124" s="133">
        <v>630</v>
      </c>
    </row>
    <row r="125" spans="1:7" ht="12.75">
      <c r="A125" s="69" t="s">
        <v>355</v>
      </c>
      <c r="B125" s="133">
        <v>1.71</v>
      </c>
      <c r="C125" s="134">
        <v>0.0001</v>
      </c>
      <c r="D125" s="134">
        <v>0.067</v>
      </c>
      <c r="E125" s="133" t="s">
        <v>436</v>
      </c>
      <c r="F125" s="133">
        <v>288</v>
      </c>
      <c r="G125" s="133">
        <v>540</v>
      </c>
    </row>
    <row r="126" spans="1:7" ht="12.75">
      <c r="A126" s="69" t="s">
        <v>358</v>
      </c>
      <c r="B126" s="133">
        <v>1.61</v>
      </c>
      <c r="C126" s="134">
        <v>0.0001</v>
      </c>
      <c r="D126" s="134">
        <v>0.091</v>
      </c>
      <c r="E126" s="133" t="s">
        <v>436</v>
      </c>
      <c r="F126" s="133">
        <v>288</v>
      </c>
      <c r="G126" s="133">
        <v>420</v>
      </c>
    </row>
    <row r="127" spans="1:7" ht="12.75">
      <c r="A127" s="69" t="s">
        <v>369</v>
      </c>
      <c r="B127" s="133">
        <v>1.81</v>
      </c>
      <c r="C127" s="134">
        <v>0.0012000000000000001</v>
      </c>
      <c r="D127" s="134">
        <v>0.0446</v>
      </c>
      <c r="E127" s="133" t="s">
        <v>436</v>
      </c>
      <c r="F127" s="133">
        <v>293</v>
      </c>
      <c r="G127" s="133">
        <v>850</v>
      </c>
    </row>
    <row r="128" spans="1:7" ht="12.75">
      <c r="A128" s="69" t="s">
        <v>372</v>
      </c>
      <c r="B128" s="133">
        <v>1.77</v>
      </c>
      <c r="C128" s="134">
        <v>0.0018000000000000002</v>
      </c>
      <c r="D128" s="134">
        <v>0.0546</v>
      </c>
      <c r="E128" s="133" t="s">
        <v>436</v>
      </c>
      <c r="F128" s="133">
        <v>293</v>
      </c>
      <c r="G128" s="133">
        <v>710</v>
      </c>
    </row>
    <row r="129" spans="1:7" ht="12.75">
      <c r="A129" s="69" t="s">
        <v>375</v>
      </c>
      <c r="B129" s="133">
        <v>1.74</v>
      </c>
      <c r="C129" s="134">
        <v>0.0016</v>
      </c>
      <c r="D129" s="134">
        <v>0.061399999999999996</v>
      </c>
      <c r="E129" s="133" t="s">
        <v>436</v>
      </c>
      <c r="F129" s="133">
        <v>290</v>
      </c>
      <c r="G129" s="133">
        <v>610</v>
      </c>
    </row>
    <row r="130" spans="1:7" ht="12.75">
      <c r="A130" s="69" t="s">
        <v>377</v>
      </c>
      <c r="B130" s="133">
        <v>1.6800000000000002</v>
      </c>
      <c r="C130" s="134">
        <v>0.0002</v>
      </c>
      <c r="D130" s="134">
        <v>0.0742</v>
      </c>
      <c r="E130" s="133" t="s">
        <v>436</v>
      </c>
      <c r="F130" s="133">
        <v>290</v>
      </c>
      <c r="G130" s="133">
        <v>540</v>
      </c>
    </row>
    <row r="131" spans="1:7" ht="12.75">
      <c r="A131" s="69" t="s">
        <v>381</v>
      </c>
      <c r="B131" s="133">
        <v>1.65</v>
      </c>
      <c r="C131" s="134">
        <v>0.0014</v>
      </c>
      <c r="D131" s="134">
        <v>0.0828</v>
      </c>
      <c r="E131" s="133" t="s">
        <v>436</v>
      </c>
      <c r="F131" s="133">
        <v>290</v>
      </c>
      <c r="G131" s="133">
        <v>430</v>
      </c>
    </row>
    <row r="132" spans="1:7" ht="12.75">
      <c r="A132" s="142" t="s">
        <v>443</v>
      </c>
      <c r="B132" s="143">
        <f>AVERAGE(B98:B131)</f>
        <v>1.6961764705882356</v>
      </c>
      <c r="C132" s="134"/>
      <c r="D132" s="134"/>
      <c r="E132" s="133"/>
      <c r="F132" s="143">
        <f>AVERAGE(F98:F131)</f>
        <v>205.11764705882354</v>
      </c>
      <c r="G132" s="133"/>
    </row>
    <row r="133" spans="1:7" ht="12.75">
      <c r="A133" s="142" t="s">
        <v>444</v>
      </c>
      <c r="B133" s="143">
        <f>MEDIAN(B98:B131)</f>
        <v>1.6800000000000002</v>
      </c>
      <c r="C133" s="134"/>
      <c r="D133" s="134"/>
      <c r="E133" s="133"/>
      <c r="F133" s="143">
        <f>MEDIAN(F98:F131)</f>
        <v>191.5</v>
      </c>
      <c r="G133" s="133"/>
    </row>
    <row r="134" spans="1:7" ht="12.75">
      <c r="A134" s="69"/>
      <c r="B134" s="133"/>
      <c r="C134" s="134"/>
      <c r="D134" s="134"/>
      <c r="E134" s="133"/>
      <c r="F134" s="133"/>
      <c r="G134" s="133"/>
    </row>
    <row r="135" spans="1:7" ht="12.75">
      <c r="A135" s="112" t="s">
        <v>406</v>
      </c>
      <c r="B135" s="113">
        <v>1.77</v>
      </c>
      <c r="C135" s="115">
        <v>0.0008</v>
      </c>
      <c r="D135" s="115">
        <v>0.024399999999999998</v>
      </c>
      <c r="E135" s="113" t="s">
        <v>441</v>
      </c>
      <c r="F135" s="113">
        <v>409</v>
      </c>
      <c r="G135" s="113">
        <v>385</v>
      </c>
    </row>
    <row r="136" spans="1:7" ht="12.75">
      <c r="A136" s="112" t="s">
        <v>417</v>
      </c>
      <c r="B136" s="113">
        <v>1.74</v>
      </c>
      <c r="C136" s="115">
        <v>0.0011</v>
      </c>
      <c r="D136" s="115">
        <v>0.0346</v>
      </c>
      <c r="E136" s="113" t="s">
        <v>441</v>
      </c>
      <c r="F136" s="113">
        <v>409</v>
      </c>
      <c r="G136" s="113">
        <v>305</v>
      </c>
    </row>
    <row r="137" spans="1:7" ht="12.75">
      <c r="A137" s="79" t="s">
        <v>240</v>
      </c>
      <c r="B137" s="80">
        <v>1.88</v>
      </c>
      <c r="C137" s="82">
        <v>0.0009000000000000001</v>
      </c>
      <c r="D137" s="82">
        <v>0.0231</v>
      </c>
      <c r="E137" s="80" t="s">
        <v>437</v>
      </c>
      <c r="F137" s="80">
        <v>140</v>
      </c>
      <c r="G137" s="80">
        <v>840</v>
      </c>
    </row>
    <row r="138" spans="1:7" ht="12.75">
      <c r="A138" s="79" t="s">
        <v>279</v>
      </c>
      <c r="B138" s="80">
        <v>1.83</v>
      </c>
      <c r="C138" s="82">
        <v>0.0007</v>
      </c>
      <c r="D138" s="82">
        <v>0.0322</v>
      </c>
      <c r="E138" s="80" t="s">
        <v>437</v>
      </c>
      <c r="F138" s="80">
        <v>171</v>
      </c>
      <c r="G138" s="80">
        <v>930</v>
      </c>
    </row>
    <row r="139" spans="1:7" ht="12.75">
      <c r="A139" s="79" t="s">
        <v>282</v>
      </c>
      <c r="B139" s="80">
        <v>1.79</v>
      </c>
      <c r="C139" s="82">
        <v>0.0017000000000000001</v>
      </c>
      <c r="D139" s="82">
        <v>0.0408</v>
      </c>
      <c r="E139" s="80" t="s">
        <v>437</v>
      </c>
      <c r="F139" s="80">
        <v>171</v>
      </c>
      <c r="G139" s="80">
        <v>760</v>
      </c>
    </row>
    <row r="140" spans="1:7" ht="12.75">
      <c r="A140" s="79" t="s">
        <v>296</v>
      </c>
      <c r="B140" s="80">
        <v>1.7000000000000002</v>
      </c>
      <c r="C140" s="82">
        <v>0.0004</v>
      </c>
      <c r="D140" s="82">
        <v>0.0567</v>
      </c>
      <c r="E140" s="80" t="s">
        <v>437</v>
      </c>
      <c r="F140" s="80">
        <v>178</v>
      </c>
      <c r="G140" s="80">
        <v>950</v>
      </c>
    </row>
    <row r="141" spans="1:7" ht="12.75">
      <c r="A141" s="79" t="s">
        <v>298</v>
      </c>
      <c r="B141" s="80">
        <v>1.63</v>
      </c>
      <c r="C141" s="82">
        <v>0.0011</v>
      </c>
      <c r="D141" s="82">
        <v>0.079</v>
      </c>
      <c r="E141" s="80" t="s">
        <v>437</v>
      </c>
      <c r="F141" s="80">
        <v>178</v>
      </c>
      <c r="G141" s="80">
        <v>740</v>
      </c>
    </row>
    <row r="142" spans="1:7" ht="12.75">
      <c r="A142" s="79" t="s">
        <v>315</v>
      </c>
      <c r="B142" s="80">
        <v>1.67</v>
      </c>
      <c r="C142" s="82">
        <v>0.0016</v>
      </c>
      <c r="D142" s="82">
        <v>0.0637</v>
      </c>
      <c r="E142" s="80" t="s">
        <v>437</v>
      </c>
      <c r="F142" s="80">
        <v>216</v>
      </c>
      <c r="G142" s="80">
        <v>700</v>
      </c>
    </row>
    <row r="143" spans="1:7" ht="12.75">
      <c r="A143" s="79" t="s">
        <v>323</v>
      </c>
      <c r="B143" s="80">
        <v>1.6</v>
      </c>
      <c r="C143" s="82">
        <v>0.0017000000000000001</v>
      </c>
      <c r="D143" s="82">
        <v>0.0774</v>
      </c>
      <c r="E143" s="80" t="s">
        <v>437</v>
      </c>
      <c r="F143" s="80">
        <v>216</v>
      </c>
      <c r="G143" s="80">
        <v>550</v>
      </c>
    </row>
    <row r="144" spans="1:12" ht="12.75">
      <c r="A144" s="79" t="s">
        <v>328</v>
      </c>
      <c r="B144" s="80">
        <v>1.6800000000000002</v>
      </c>
      <c r="C144" s="82">
        <v>0.001</v>
      </c>
      <c r="D144" s="82">
        <v>0.0611</v>
      </c>
      <c r="E144" s="80" t="s">
        <v>437</v>
      </c>
      <c r="F144" s="80">
        <v>253</v>
      </c>
      <c r="G144" s="80">
        <v>780</v>
      </c>
      <c r="I144" s="6" t="s">
        <v>450</v>
      </c>
      <c r="J144" s="6" t="s">
        <v>451</v>
      </c>
      <c r="K144" s="6" t="s">
        <v>452</v>
      </c>
      <c r="L144" s="6" t="s">
        <v>453</v>
      </c>
    </row>
    <row r="145" spans="1:12" ht="12.75">
      <c r="A145" s="79" t="s">
        <v>329</v>
      </c>
      <c r="B145" s="80">
        <v>1.61</v>
      </c>
      <c r="C145" s="82">
        <v>0.0009000000000000001</v>
      </c>
      <c r="D145" s="82">
        <v>0.0747</v>
      </c>
      <c r="E145" s="80" t="s">
        <v>437</v>
      </c>
      <c r="F145" s="80">
        <v>253</v>
      </c>
      <c r="G145" s="80">
        <v>650</v>
      </c>
      <c r="I145" s="14" t="s">
        <v>431</v>
      </c>
      <c r="J145" s="6" t="s">
        <v>454</v>
      </c>
      <c r="K145" s="6" t="s">
        <v>77</v>
      </c>
      <c r="L145" s="6" t="s">
        <v>455</v>
      </c>
    </row>
    <row r="146" spans="1:12" ht="12.75">
      <c r="A146" s="79" t="s">
        <v>333</v>
      </c>
      <c r="B146" s="80">
        <v>1.64</v>
      </c>
      <c r="C146" s="82">
        <v>0.0001</v>
      </c>
      <c r="D146" s="82">
        <v>0.0679</v>
      </c>
      <c r="E146" s="80" t="s">
        <v>437</v>
      </c>
      <c r="F146" s="80">
        <v>253</v>
      </c>
      <c r="G146" s="80">
        <v>560</v>
      </c>
      <c r="I146" s="6" t="s">
        <v>432</v>
      </c>
      <c r="J146" s="6" t="s">
        <v>456</v>
      </c>
      <c r="K146" s="6" t="s">
        <v>224</v>
      </c>
      <c r="L146" s="6">
        <v>130.8</v>
      </c>
    </row>
    <row r="147" spans="1:12" ht="12.75">
      <c r="A147" s="79" t="s">
        <v>338</v>
      </c>
      <c r="B147" s="80">
        <v>1.54</v>
      </c>
      <c r="C147" s="82">
        <v>0</v>
      </c>
      <c r="D147" s="82">
        <v>0.0875</v>
      </c>
      <c r="E147" s="80" t="s">
        <v>437</v>
      </c>
      <c r="F147" s="80">
        <v>253</v>
      </c>
      <c r="G147" s="80">
        <v>430</v>
      </c>
      <c r="I147" s="6" t="s">
        <v>436</v>
      </c>
      <c r="J147" s="6" t="s">
        <v>457</v>
      </c>
      <c r="K147" s="6" t="s">
        <v>458</v>
      </c>
      <c r="L147" s="6" t="s">
        <v>305</v>
      </c>
    </row>
    <row r="148" spans="1:12" ht="12.75">
      <c r="A148" s="79" t="s">
        <v>351</v>
      </c>
      <c r="B148" s="80">
        <v>1.78</v>
      </c>
      <c r="C148" s="82">
        <v>0.0001</v>
      </c>
      <c r="D148" s="82">
        <v>0.040999999999999995</v>
      </c>
      <c r="E148" s="80" t="s">
        <v>437</v>
      </c>
      <c r="F148" s="80">
        <v>288</v>
      </c>
      <c r="G148" s="80">
        <v>630</v>
      </c>
      <c r="I148" s="6" t="s">
        <v>437</v>
      </c>
      <c r="J148" s="6" t="s">
        <v>459</v>
      </c>
      <c r="K148" s="6" t="s">
        <v>352</v>
      </c>
      <c r="L148" s="6" t="s">
        <v>460</v>
      </c>
    </row>
    <row r="149" spans="1:12" ht="12.75">
      <c r="A149" s="79" t="s">
        <v>355</v>
      </c>
      <c r="B149" s="80">
        <v>1.8</v>
      </c>
      <c r="C149" s="82">
        <v>0.0014</v>
      </c>
      <c r="D149" s="82">
        <v>0.038599999999999995</v>
      </c>
      <c r="E149" s="82" t="s">
        <v>437</v>
      </c>
      <c r="F149" s="80">
        <v>288</v>
      </c>
      <c r="G149" s="80">
        <v>540</v>
      </c>
      <c r="I149" s="6" t="s">
        <v>438</v>
      </c>
      <c r="J149" s="6" t="s">
        <v>461</v>
      </c>
      <c r="K149" s="6" t="s">
        <v>397</v>
      </c>
      <c r="L149" s="6" t="s">
        <v>462</v>
      </c>
    </row>
    <row r="150" spans="1:12" ht="12.75">
      <c r="A150" s="79" t="s">
        <v>358</v>
      </c>
      <c r="B150" s="80">
        <v>1.69</v>
      </c>
      <c r="C150" s="82">
        <v>0.0007</v>
      </c>
      <c r="D150" s="82">
        <v>0.058899999999999994</v>
      </c>
      <c r="E150" s="82" t="s">
        <v>437</v>
      </c>
      <c r="F150" s="80">
        <v>288</v>
      </c>
      <c r="G150" s="80">
        <v>420</v>
      </c>
      <c r="I150" s="6" t="s">
        <v>440</v>
      </c>
      <c r="J150" s="6" t="s">
        <v>463</v>
      </c>
      <c r="K150" s="6" t="s">
        <v>397</v>
      </c>
      <c r="L150" s="6" t="s">
        <v>397</v>
      </c>
    </row>
    <row r="151" spans="1:7" ht="12.75">
      <c r="A151" s="79" t="s">
        <v>372</v>
      </c>
      <c r="B151" s="80">
        <v>1.77</v>
      </c>
      <c r="C151" s="82">
        <v>0.0001</v>
      </c>
      <c r="D151" s="82">
        <v>0.0429</v>
      </c>
      <c r="E151" s="82" t="s">
        <v>437</v>
      </c>
      <c r="F151" s="80">
        <v>293</v>
      </c>
      <c r="G151" s="80">
        <v>710</v>
      </c>
    </row>
    <row r="152" spans="1:7" ht="12.75">
      <c r="A152" s="79" t="s">
        <v>375</v>
      </c>
      <c r="B152" s="80">
        <v>1.83</v>
      </c>
      <c r="C152" s="82">
        <v>0.0012000000000000001</v>
      </c>
      <c r="D152" s="82">
        <v>0.0328</v>
      </c>
      <c r="E152" s="82" t="s">
        <v>437</v>
      </c>
      <c r="F152" s="80">
        <v>290</v>
      </c>
      <c r="G152" s="80">
        <v>610</v>
      </c>
    </row>
    <row r="153" spans="1:7" ht="12.75">
      <c r="A153" s="79" t="s">
        <v>377</v>
      </c>
      <c r="B153" s="80">
        <v>1.72</v>
      </c>
      <c r="C153" s="82">
        <v>0.0015</v>
      </c>
      <c r="D153" s="82">
        <v>0.053899999999999997</v>
      </c>
      <c r="E153" s="82" t="s">
        <v>437</v>
      </c>
      <c r="F153" s="80">
        <v>290</v>
      </c>
      <c r="G153" s="80">
        <v>540</v>
      </c>
    </row>
    <row r="154" spans="1:7" ht="12.75">
      <c r="A154" s="79" t="s">
        <v>381</v>
      </c>
      <c r="B154" s="80">
        <v>1.67</v>
      </c>
      <c r="C154" s="82">
        <v>0.0012000000000000001</v>
      </c>
      <c r="D154" s="82">
        <v>0.0633</v>
      </c>
      <c r="E154" s="82" t="s">
        <v>437</v>
      </c>
      <c r="F154" s="80">
        <v>290</v>
      </c>
      <c r="G154" s="80">
        <v>430</v>
      </c>
    </row>
    <row r="155" spans="1:7" ht="12.75">
      <c r="A155" s="79" t="s">
        <v>384</v>
      </c>
      <c r="B155" s="80">
        <v>1.73</v>
      </c>
      <c r="C155" s="82">
        <v>0.0006000000000000001</v>
      </c>
      <c r="D155" s="82">
        <v>0.051</v>
      </c>
      <c r="E155" s="82" t="s">
        <v>437</v>
      </c>
      <c r="F155" s="80">
        <v>353</v>
      </c>
      <c r="G155" s="80">
        <v>520</v>
      </c>
    </row>
    <row r="156" spans="1:7" ht="12.75">
      <c r="A156" s="79" t="s">
        <v>387</v>
      </c>
      <c r="B156" s="80">
        <v>1.66</v>
      </c>
      <c r="C156" s="82">
        <v>0.0017000000000000001</v>
      </c>
      <c r="D156" s="82">
        <v>0.0658</v>
      </c>
      <c r="E156" s="82" t="s">
        <v>437</v>
      </c>
      <c r="F156" s="80">
        <v>353</v>
      </c>
      <c r="G156" s="80">
        <v>440</v>
      </c>
    </row>
    <row r="157" spans="1:7" ht="12.75">
      <c r="A157" s="79" t="s">
        <v>389</v>
      </c>
      <c r="B157" s="80">
        <v>1.79</v>
      </c>
      <c r="C157" s="82">
        <v>0.0006000000000000001</v>
      </c>
      <c r="D157" s="82">
        <v>0.0397</v>
      </c>
      <c r="E157" s="82" t="s">
        <v>437</v>
      </c>
      <c r="F157" s="80">
        <v>398</v>
      </c>
      <c r="G157" s="80">
        <v>540</v>
      </c>
    </row>
    <row r="158" spans="1:7" ht="12.75">
      <c r="A158" s="79" t="s">
        <v>392</v>
      </c>
      <c r="B158" s="80">
        <v>1.66</v>
      </c>
      <c r="C158" s="82">
        <v>0</v>
      </c>
      <c r="D158" s="82">
        <v>0.064</v>
      </c>
      <c r="E158" s="82" t="s">
        <v>437</v>
      </c>
      <c r="F158" s="80">
        <v>400</v>
      </c>
      <c r="G158" s="80">
        <v>450</v>
      </c>
    </row>
    <row r="159" spans="1:10" ht="12.75">
      <c r="A159" s="79" t="s">
        <v>396</v>
      </c>
      <c r="B159" s="80">
        <v>1.59</v>
      </c>
      <c r="C159" s="82">
        <v>0.0007</v>
      </c>
      <c r="D159" s="82">
        <v>0.0784</v>
      </c>
      <c r="E159" s="82" t="s">
        <v>437</v>
      </c>
      <c r="F159" s="80">
        <v>396</v>
      </c>
      <c r="G159" s="80">
        <v>390</v>
      </c>
      <c r="J159" s="6" t="s">
        <v>464</v>
      </c>
    </row>
    <row r="160" spans="1:10" ht="12.75">
      <c r="A160" s="144" t="s">
        <v>443</v>
      </c>
      <c r="B160" s="145">
        <f>AVERAGE(B135:B159)</f>
        <v>1.7107999999999999</v>
      </c>
      <c r="C160" s="80">
        <f>AVERAGE(B137:B159)</f>
        <v>1.7069565217391307</v>
      </c>
      <c r="D160" s="146" t="s">
        <v>465</v>
      </c>
      <c r="E160" s="82"/>
      <c r="F160" s="147">
        <f>AVERAGE(F137:F159)</f>
        <v>269.95652173913044</v>
      </c>
      <c r="G160" s="80"/>
      <c r="I160" s="6" t="s">
        <v>431</v>
      </c>
      <c r="J160" s="148">
        <f>(3/2)^1.41</f>
        <v>1.7712859397529</v>
      </c>
    </row>
    <row r="161" spans="1:10" ht="12.75">
      <c r="A161" s="144" t="s">
        <v>444</v>
      </c>
      <c r="B161" s="145">
        <f>MEDIAN(B135:B159)</f>
        <v>1.7000000000000002</v>
      </c>
      <c r="C161" s="80">
        <f>MEDIAN(B137:B159)</f>
        <v>1.69</v>
      </c>
      <c r="D161" s="146" t="s">
        <v>465</v>
      </c>
      <c r="E161" s="82"/>
      <c r="F161" s="147">
        <f>MEDIAN(F137:F159)</f>
        <v>288</v>
      </c>
      <c r="G161" s="80"/>
      <c r="I161" s="6" t="s">
        <v>432</v>
      </c>
      <c r="J161" s="148">
        <f>(4/3)^1.62</f>
        <v>1.5936786453414888</v>
      </c>
    </row>
    <row r="162" spans="1:10" ht="12.75">
      <c r="A162" s="79"/>
      <c r="B162" s="80"/>
      <c r="C162" s="82"/>
      <c r="D162" s="82"/>
      <c r="E162" s="82"/>
      <c r="F162" s="80"/>
      <c r="G162" s="80"/>
      <c r="I162" s="6" t="s">
        <v>436</v>
      </c>
      <c r="J162" s="148">
        <f>(5/4)^1.7</f>
        <v>1.4613256997228459</v>
      </c>
    </row>
    <row r="163" spans="1:10" ht="12.75">
      <c r="A163" s="88" t="s">
        <v>387</v>
      </c>
      <c r="B163" s="89">
        <v>1.81</v>
      </c>
      <c r="C163" s="103">
        <v>0.0012000000000000001</v>
      </c>
      <c r="D163" s="103">
        <v>0.030899999999999997</v>
      </c>
      <c r="E163" s="89" t="s">
        <v>439</v>
      </c>
      <c r="F163" s="89">
        <v>353</v>
      </c>
      <c r="G163" s="89">
        <v>440</v>
      </c>
      <c r="I163" s="6" t="s">
        <v>437</v>
      </c>
      <c r="J163" s="148">
        <f>(6/5)^1.7</f>
        <v>1.3633523726386665</v>
      </c>
    </row>
    <row r="164" spans="9:10" ht="12.75">
      <c r="I164" s="6" t="s">
        <v>439</v>
      </c>
      <c r="J164" s="148">
        <f>(7/6)^1.7</f>
        <v>1.2995995203093216</v>
      </c>
    </row>
    <row r="165" spans="1:10" ht="12.75">
      <c r="A165" s="120" t="s">
        <v>417</v>
      </c>
      <c r="B165" s="121">
        <v>1.65</v>
      </c>
      <c r="C165" s="123">
        <v>0.0004</v>
      </c>
      <c r="D165" s="123">
        <v>0.0516</v>
      </c>
      <c r="E165" s="121" t="s">
        <v>442</v>
      </c>
      <c r="F165" s="121">
        <v>409</v>
      </c>
      <c r="G165" s="121">
        <v>305</v>
      </c>
      <c r="I165" s="6" t="s">
        <v>466</v>
      </c>
      <c r="J165" s="148">
        <f>(8/7)^1.7</f>
        <v>1.2548340935388997</v>
      </c>
    </row>
    <row r="166" spans="1:10" ht="12.75">
      <c r="A166" s="90" t="s">
        <v>338</v>
      </c>
      <c r="B166" s="91">
        <v>1.65</v>
      </c>
      <c r="C166" s="93">
        <v>0.00030000000000000003</v>
      </c>
      <c r="D166" s="93">
        <v>0.1063</v>
      </c>
      <c r="E166" s="91" t="s">
        <v>438</v>
      </c>
      <c r="F166" s="91">
        <v>253</v>
      </c>
      <c r="G166" s="91">
        <v>430</v>
      </c>
      <c r="I166" s="6" t="s">
        <v>467</v>
      </c>
      <c r="J166" s="148">
        <f>(9/8)^1.7</f>
        <v>1.2216851310094328</v>
      </c>
    </row>
    <row r="167" spans="1:10" ht="12.75">
      <c r="A167" s="90" t="s">
        <v>377</v>
      </c>
      <c r="B167" s="91">
        <v>1.85</v>
      </c>
      <c r="C167" s="93">
        <v>0.0023</v>
      </c>
      <c r="D167" s="93">
        <v>0.04650000000000001</v>
      </c>
      <c r="E167" s="91" t="s">
        <v>438</v>
      </c>
      <c r="F167" s="91">
        <v>290</v>
      </c>
      <c r="G167" s="91">
        <v>540</v>
      </c>
      <c r="I167" s="6" t="s">
        <v>468</v>
      </c>
      <c r="J167" s="148">
        <f>(10/9)^1.7</f>
        <v>1.1961557545645227</v>
      </c>
    </row>
    <row r="168" spans="1:12" ht="12.75">
      <c r="A168" s="90" t="s">
        <v>381</v>
      </c>
      <c r="B168" s="91">
        <v>1.82</v>
      </c>
      <c r="C168" s="93">
        <v>0.0002</v>
      </c>
      <c r="D168" s="93">
        <v>0.053399999999999996</v>
      </c>
      <c r="E168" s="91" t="s">
        <v>438</v>
      </c>
      <c r="F168" s="91">
        <v>290</v>
      </c>
      <c r="G168" s="91">
        <v>430</v>
      </c>
      <c r="I168" s="6" t="s">
        <v>438</v>
      </c>
      <c r="J168" s="148">
        <f>(8/6)^1.73</f>
        <v>1.6449170959385375</v>
      </c>
      <c r="K168" s="148">
        <f>J164*J165</f>
        <v>1.6307817860309364</v>
      </c>
      <c r="L168" t="s">
        <v>469</v>
      </c>
    </row>
    <row r="169" spans="1:12" ht="12.75">
      <c r="A169" s="90" t="s">
        <v>389</v>
      </c>
      <c r="B169" s="91">
        <v>1.78</v>
      </c>
      <c r="C169" s="93">
        <v>0.0014</v>
      </c>
      <c r="D169" s="93">
        <v>0.0669</v>
      </c>
      <c r="E169" s="91" t="s">
        <v>438</v>
      </c>
      <c r="F169" s="91">
        <v>398</v>
      </c>
      <c r="G169" s="91">
        <v>540</v>
      </c>
      <c r="I169" s="6" t="s">
        <v>440</v>
      </c>
      <c r="J169" s="148">
        <f>(10/8)^1.73</f>
        <v>1.4711410788337234</v>
      </c>
      <c r="K169" s="148">
        <f>J166*J167</f>
        <v>1.4613256997228459</v>
      </c>
      <c r="L169" t="s">
        <v>469</v>
      </c>
    </row>
    <row r="170" spans="1:7" ht="12.75">
      <c r="A170" s="90" t="s">
        <v>392</v>
      </c>
      <c r="B170" s="91">
        <v>1.74</v>
      </c>
      <c r="C170" s="93">
        <v>0.0012000000000000001</v>
      </c>
      <c r="D170" s="93">
        <v>0.0789</v>
      </c>
      <c r="E170" s="91" t="s">
        <v>438</v>
      </c>
      <c r="F170" s="91">
        <v>400</v>
      </c>
      <c r="G170" s="91">
        <v>450</v>
      </c>
    </row>
    <row r="171" spans="1:9" ht="12.75">
      <c r="A171" s="90" t="s">
        <v>396</v>
      </c>
      <c r="B171" s="91">
        <v>1.71</v>
      </c>
      <c r="C171" s="93">
        <v>0.0025</v>
      </c>
      <c r="D171" s="93">
        <v>0.0897</v>
      </c>
      <c r="E171" s="91" t="s">
        <v>438</v>
      </c>
      <c r="F171" s="91">
        <v>396</v>
      </c>
      <c r="G171" s="91">
        <v>390</v>
      </c>
      <c r="I171" t="s">
        <v>470</v>
      </c>
    </row>
    <row r="172" spans="1:11" ht="12.75">
      <c r="A172" s="90" t="s">
        <v>400</v>
      </c>
      <c r="B172" s="91">
        <v>1.61</v>
      </c>
      <c r="C172" s="93">
        <v>0.0002</v>
      </c>
      <c r="D172" s="93">
        <v>0.1189</v>
      </c>
      <c r="E172" s="91" t="s">
        <v>438</v>
      </c>
      <c r="F172" s="91">
        <v>396</v>
      </c>
      <c r="G172" s="91">
        <v>300</v>
      </c>
      <c r="I172" s="6" t="s">
        <v>438</v>
      </c>
      <c r="J172" s="6" t="s">
        <v>439</v>
      </c>
      <c r="K172" s="6" t="s">
        <v>466</v>
      </c>
    </row>
    <row r="173" spans="1:11" ht="12.75">
      <c r="A173" s="149" t="s">
        <v>443</v>
      </c>
      <c r="B173" s="150">
        <f>AVERAGE(B165:B172)</f>
        <v>1.72625</v>
      </c>
      <c r="C173" s="19">
        <f>AVERAGE(B166:B172)</f>
        <v>1.737142857142857</v>
      </c>
      <c r="D173" s="146" t="s">
        <v>465</v>
      </c>
      <c r="F173" s="151">
        <f>AVERAGE(F166:F172)</f>
        <v>346.14285714285717</v>
      </c>
      <c r="I173" s="152">
        <f>25*J168</f>
        <v>41.12292739846344</v>
      </c>
      <c r="J173" s="153">
        <f>25*J164</f>
        <v>32.48998800773304</v>
      </c>
      <c r="K173" s="152">
        <f>J173*J165</f>
        <v>40.76954465077341</v>
      </c>
    </row>
    <row r="174" spans="1:6" ht="12.75">
      <c r="A174" s="149" t="s">
        <v>444</v>
      </c>
      <c r="B174" s="150">
        <f>MEDIAN(B165:B172)</f>
        <v>1.725</v>
      </c>
      <c r="C174" s="19">
        <f>MEDIAN(B166:B172)</f>
        <v>1.74</v>
      </c>
      <c r="D174" s="146" t="s">
        <v>465</v>
      </c>
      <c r="F174" s="151">
        <f>MEDIAN(F166:F172)</f>
        <v>396</v>
      </c>
    </row>
    <row r="175" spans="9:11" ht="12.75">
      <c r="I175" s="6" t="s">
        <v>440</v>
      </c>
      <c r="J175" s="6" t="s">
        <v>467</v>
      </c>
      <c r="K175" s="6" t="s">
        <v>468</v>
      </c>
    </row>
    <row r="176" spans="1:11" ht="12.75">
      <c r="A176" s="104" t="s">
        <v>400</v>
      </c>
      <c r="B176" s="105">
        <v>1.75</v>
      </c>
      <c r="C176" s="107">
        <v>0.0001</v>
      </c>
      <c r="D176" s="107">
        <v>0.0575</v>
      </c>
      <c r="E176" s="105" t="s">
        <v>440</v>
      </c>
      <c r="F176" s="105">
        <v>396</v>
      </c>
      <c r="G176" s="105">
        <v>300</v>
      </c>
      <c r="I176" s="152">
        <f>25.2*J169</f>
        <v>37.072755186609825</v>
      </c>
      <c r="J176" s="153">
        <f>25.2*J166</f>
        <v>30.786465301437705</v>
      </c>
      <c r="K176" s="152">
        <f>J176*J167</f>
        <v>36.825407633015715</v>
      </c>
    </row>
    <row r="177" spans="1:9" ht="12.75">
      <c r="A177" s="1"/>
      <c r="B177" s="2"/>
      <c r="C177" s="2"/>
      <c r="D177" s="2"/>
      <c r="E177" s="2"/>
      <c r="F177" s="2"/>
      <c r="G177" s="2"/>
      <c r="I177" t="s">
        <v>471</v>
      </c>
    </row>
    <row r="178" spans="1:7" ht="12.75">
      <c r="A178" s="1"/>
      <c r="B178" s="2"/>
      <c r="C178" s="2"/>
      <c r="D178" s="2"/>
      <c r="E178" s="2"/>
      <c r="F178" s="2"/>
      <c r="G178" s="2"/>
    </row>
    <row r="180" ht="12.75">
      <c r="J180" s="19">
        <f>((25*1.645)-25)/25</f>
        <v>0.645</v>
      </c>
    </row>
    <row r="183" ht="12.75">
      <c r="H183" t="s">
        <v>400</v>
      </c>
    </row>
    <row r="184" spans="8:11" ht="12.75">
      <c r="H184" s="6" t="s">
        <v>446</v>
      </c>
      <c r="I184" t="s">
        <v>472</v>
      </c>
      <c r="J184" s="6" t="s">
        <v>473</v>
      </c>
      <c r="K184" t="s">
        <v>474</v>
      </c>
    </row>
    <row r="185" spans="8:11" ht="12.75">
      <c r="H185" s="6">
        <v>0.069</v>
      </c>
      <c r="I185" s="6">
        <f>H185*45</f>
        <v>3.1050000000000004</v>
      </c>
      <c r="J185" s="6">
        <f>H185*53.6</f>
        <v>3.6984000000000004</v>
      </c>
      <c r="K185" s="19">
        <f>(37-J185)/37</f>
        <v>0.9000432432432433</v>
      </c>
    </row>
    <row r="186" spans="8:11" ht="12.75">
      <c r="H186" s="6"/>
      <c r="I186" s="6"/>
      <c r="J186" s="6"/>
      <c r="K186" s="19"/>
    </row>
    <row r="187" spans="9:13" ht="12.75">
      <c r="I187" s="6" t="s">
        <v>475</v>
      </c>
      <c r="J187" s="6" t="s">
        <v>476</v>
      </c>
      <c r="K187" s="6" t="s">
        <v>477</v>
      </c>
      <c r="L187" s="6" t="s">
        <v>478</v>
      </c>
      <c r="M187" s="6" t="s">
        <v>479</v>
      </c>
    </row>
    <row r="188" spans="9:13" ht="12.75">
      <c r="I188" s="6">
        <f>8.53/2</f>
        <v>4.265</v>
      </c>
      <c r="J188" s="6">
        <v>10</v>
      </c>
      <c r="K188" s="6">
        <f>I188*J188</f>
        <v>42.65</v>
      </c>
      <c r="L188" s="148">
        <f>K188/60</f>
        <v>0.7108333333333333</v>
      </c>
      <c r="M188" s="148">
        <f>L188*(1/0.8)</f>
        <v>0.8885416666666667</v>
      </c>
    </row>
    <row r="189" spans="9:13" ht="12.75">
      <c r="I189" s="6">
        <f>8.53/2</f>
        <v>4.265</v>
      </c>
      <c r="J189" s="6">
        <f>J188-1</f>
        <v>9</v>
      </c>
      <c r="K189" s="6">
        <f>I189*J189</f>
        <v>38.385</v>
      </c>
      <c r="L189" s="148">
        <f>K189/60</f>
        <v>0.6397499999999999</v>
      </c>
      <c r="M189" s="148">
        <f>L189*(1/0.8)</f>
        <v>0.7996874999999999</v>
      </c>
    </row>
    <row r="190" spans="9:13" ht="12.75">
      <c r="I190" s="6">
        <f>8.53/2</f>
        <v>4.265</v>
      </c>
      <c r="J190" s="6">
        <f>J189-1</f>
        <v>8</v>
      </c>
      <c r="K190" s="6">
        <f>I190*J190</f>
        <v>34.12</v>
      </c>
      <c r="L190" s="148">
        <f>K190/60</f>
        <v>0.5686666666666667</v>
      </c>
      <c r="M190" s="148">
        <f>L190*(1/0.8)</f>
        <v>0.7108333333333333</v>
      </c>
    </row>
    <row r="191" spans="9:13" ht="12.75">
      <c r="I191" s="6">
        <f>8.53/2</f>
        <v>4.265</v>
      </c>
      <c r="J191" s="6">
        <f>J190-1</f>
        <v>7</v>
      </c>
      <c r="K191" s="6">
        <f>I191*J191</f>
        <v>29.854999999999997</v>
      </c>
      <c r="L191" s="148">
        <f>K191/60</f>
        <v>0.49758333333333327</v>
      </c>
      <c r="M191" s="148">
        <f>L191*(1/0.8)</f>
        <v>0.6219791666666665</v>
      </c>
    </row>
    <row r="192" spans="9:13" ht="12.75">
      <c r="I192" s="6">
        <f>8.53/2</f>
        <v>4.265</v>
      </c>
      <c r="J192" s="6">
        <f>J191-1</f>
        <v>6</v>
      </c>
      <c r="K192" s="6">
        <f>I192*J192</f>
        <v>25.589999999999996</v>
      </c>
      <c r="L192" s="148">
        <f>K192/60</f>
        <v>0.42649999999999993</v>
      </c>
      <c r="M192" s="148">
        <f>L192*(1/0.8)</f>
        <v>0.533125</v>
      </c>
    </row>
    <row r="193" spans="9:13" ht="12.75">
      <c r="I193" s="6">
        <f>8.53/2</f>
        <v>4.265</v>
      </c>
      <c r="J193" s="6">
        <f>J192-1</f>
        <v>5</v>
      </c>
      <c r="K193" s="6">
        <f>I193*J193</f>
        <v>21.325</v>
      </c>
      <c r="L193" s="148">
        <f>K193/60</f>
        <v>0.35541666666666666</v>
      </c>
      <c r="M193" s="148">
        <f>L193*(1/0.8)</f>
        <v>0.44427083333333334</v>
      </c>
    </row>
    <row r="194" spans="9:13" ht="12.75">
      <c r="I194" s="6">
        <f>8.53/2</f>
        <v>4.265</v>
      </c>
      <c r="J194" s="6">
        <f>J193-1</f>
        <v>4</v>
      </c>
      <c r="K194" s="6">
        <f>I194*J194</f>
        <v>17.06</v>
      </c>
      <c r="L194" s="148">
        <f>K194/60</f>
        <v>0.2843333333333333</v>
      </c>
      <c r="M194" s="148">
        <f>L194*(1/0.8)</f>
        <v>0.35541666666666666</v>
      </c>
    </row>
    <row r="195" spans="12:13" ht="12.75">
      <c r="L195" s="148"/>
      <c r="M195" s="148"/>
    </row>
    <row r="196" spans="9:13" ht="12.75">
      <c r="I196" s="6">
        <f>14.93/2</f>
        <v>7.465</v>
      </c>
      <c r="J196" s="6">
        <v>10</v>
      </c>
      <c r="K196" s="6">
        <f>I196*J196</f>
        <v>74.65</v>
      </c>
      <c r="L196" s="148">
        <f>K196/60</f>
        <v>1.2441666666666669</v>
      </c>
      <c r="M196" s="148">
        <f>L196*(1/0.8)</f>
        <v>1.5552083333333335</v>
      </c>
    </row>
    <row r="197" spans="9:13" ht="12.75">
      <c r="I197" s="6">
        <f>14.93/2</f>
        <v>7.465</v>
      </c>
      <c r="J197" s="6">
        <f>J196-1</f>
        <v>9</v>
      </c>
      <c r="K197" s="6">
        <f>I197*J197</f>
        <v>67.185</v>
      </c>
      <c r="L197" s="148">
        <f>K197/60</f>
        <v>1.11975</v>
      </c>
      <c r="M197" s="148">
        <f>L197*(1/0.8)</f>
        <v>1.3996875</v>
      </c>
    </row>
    <row r="198" spans="9:13" ht="12.75">
      <c r="I198" s="6">
        <f>14.93/2</f>
        <v>7.465</v>
      </c>
      <c r="J198" s="6">
        <f>J197-1</f>
        <v>8</v>
      </c>
      <c r="K198" s="6">
        <f>I198*J198</f>
        <v>59.72</v>
      </c>
      <c r="L198" s="148">
        <f>K198/60</f>
        <v>0.9953333333333333</v>
      </c>
      <c r="M198" s="148">
        <f>L198*(1/0.8)</f>
        <v>1.2441666666666666</v>
      </c>
    </row>
    <row r="199" spans="9:13" ht="12.75">
      <c r="I199" s="6">
        <f>14.93/2</f>
        <v>7.465</v>
      </c>
      <c r="J199" s="6">
        <f>J198-1</f>
        <v>7</v>
      </c>
      <c r="K199" s="6">
        <f>I199*J199</f>
        <v>52.254999999999995</v>
      </c>
      <c r="L199" s="148">
        <f>K199/60</f>
        <v>0.8709166666666666</v>
      </c>
      <c r="M199" s="148">
        <f>L199*(1/0.8)</f>
        <v>1.088645833333333</v>
      </c>
    </row>
    <row r="200" spans="9:13" ht="12.75">
      <c r="I200" s="6">
        <f>14.93/2</f>
        <v>7.465</v>
      </c>
      <c r="J200" s="6">
        <f>J199-1</f>
        <v>6</v>
      </c>
      <c r="K200" s="6">
        <f>I200*J200</f>
        <v>44.79</v>
      </c>
      <c r="L200" s="148">
        <f>K200/60</f>
        <v>0.7464999999999999</v>
      </c>
      <c r="M200" s="148">
        <f>L200*(1/0.8)</f>
        <v>0.933125</v>
      </c>
    </row>
    <row r="201" spans="9:13" ht="12.75">
      <c r="I201" s="6">
        <f>14.93/2</f>
        <v>7.465</v>
      </c>
      <c r="J201" s="6">
        <f>J200-1</f>
        <v>5</v>
      </c>
      <c r="K201" s="6">
        <f>I201*J201</f>
        <v>37.325</v>
      </c>
      <c r="L201" s="148">
        <f>K201/60</f>
        <v>0.6220833333333334</v>
      </c>
      <c r="M201" s="148">
        <f>L201*(1/0.8)</f>
        <v>0.7776041666666668</v>
      </c>
    </row>
    <row r="202" spans="9:13" ht="12.75">
      <c r="I202" s="6">
        <f>14.93/2</f>
        <v>7.465</v>
      </c>
      <c r="J202" s="6">
        <f>J201-1</f>
        <v>4</v>
      </c>
      <c r="K202" s="6">
        <f>I202*J202</f>
        <v>29.86</v>
      </c>
      <c r="L202" s="148">
        <f>K202/60</f>
        <v>0.49766666666666665</v>
      </c>
      <c r="M202" s="148">
        <f>L202*(1/0.8)</f>
        <v>0.6220833333333333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5"/>
  <sheetViews>
    <sheetView zoomScale="110" zoomScaleNormal="110" workbookViewId="0" topLeftCell="A154">
      <selection activeCell="A187" sqref="A187"/>
    </sheetView>
  </sheetViews>
  <sheetFormatPr defaultColWidth="12.57421875" defaultRowHeight="12.75"/>
  <cols>
    <col min="1" max="1" width="32.8515625" style="0" customWidth="1"/>
    <col min="2" max="2" width="8.00390625" style="0" customWidth="1"/>
    <col min="3" max="3" width="24.8515625" style="0" customWidth="1"/>
    <col min="4" max="4" width="8.140625" style="0" customWidth="1"/>
    <col min="5" max="6" width="9.140625" style="0" customWidth="1"/>
    <col min="7" max="7" width="9.8515625" style="0" customWidth="1"/>
    <col min="8" max="8" width="10.00390625" style="0" customWidth="1"/>
    <col min="9" max="9" width="8.421875" style="0" customWidth="1"/>
    <col min="10" max="10" width="9.8515625" style="0" customWidth="1"/>
    <col min="11" max="11" width="8.8515625" style="0" customWidth="1"/>
    <col min="12" max="12" width="8.28125" style="0" customWidth="1"/>
    <col min="13" max="13" width="5.140625" style="0" customWidth="1"/>
    <col min="14" max="16384" width="11.57421875" style="0" customWidth="1"/>
  </cols>
  <sheetData>
    <row r="1" ht="12.75">
      <c r="A1" t="s">
        <v>480</v>
      </c>
    </row>
    <row r="3" spans="1:13" ht="12.75">
      <c r="A3" t="s">
        <v>0</v>
      </c>
      <c r="B3" s="6" t="s">
        <v>481</v>
      </c>
      <c r="C3" t="s">
        <v>1</v>
      </c>
      <c r="D3" s="6" t="s">
        <v>482</v>
      </c>
      <c r="E3" s="6" t="s">
        <v>483</v>
      </c>
      <c r="F3" s="6" t="s">
        <v>484</v>
      </c>
      <c r="G3" s="6" t="s">
        <v>485</v>
      </c>
      <c r="H3" s="6" t="s">
        <v>486</v>
      </c>
      <c r="I3" s="6" t="s">
        <v>487</v>
      </c>
      <c r="J3" s="6" t="s">
        <v>488</v>
      </c>
      <c r="K3" s="6" t="s">
        <v>489</v>
      </c>
      <c r="L3" s="6" t="s">
        <v>490</v>
      </c>
      <c r="M3" s="6" t="s">
        <v>488</v>
      </c>
    </row>
    <row r="4" spans="1:13" ht="12.75">
      <c r="A4" t="s">
        <v>491</v>
      </c>
      <c r="B4" s="6">
        <v>33</v>
      </c>
      <c r="C4" t="s">
        <v>492</v>
      </c>
      <c r="D4" s="6">
        <v>7.4</v>
      </c>
      <c r="E4" s="6">
        <v>5.1</v>
      </c>
      <c r="F4" s="6">
        <v>11.1</v>
      </c>
      <c r="G4" s="6">
        <v>9.2</v>
      </c>
      <c r="H4" s="28">
        <f>E4*1.77</f>
        <v>9.027</v>
      </c>
      <c r="I4" s="29">
        <f>-((G4-H4)/G4)</f>
        <v>-0.018804347826086962</v>
      </c>
      <c r="J4" s="150">
        <f>H4-G4</f>
        <v>-0.17300000000000004</v>
      </c>
      <c r="K4" s="28">
        <f>((F4/D4)^2)*E4</f>
        <v>11.474999999999994</v>
      </c>
      <c r="L4" s="29">
        <f>-((G4-K4)/G4)</f>
        <v>0.24728260869565166</v>
      </c>
      <c r="M4" s="150">
        <f>K4-G4</f>
        <v>2.274999999999995</v>
      </c>
    </row>
    <row r="5" spans="1:13" ht="12.75">
      <c r="A5" t="s">
        <v>493</v>
      </c>
      <c r="B5" s="6">
        <v>32</v>
      </c>
      <c r="C5" t="s">
        <v>494</v>
      </c>
      <c r="D5" s="6">
        <v>7.4</v>
      </c>
      <c r="E5" s="6">
        <v>5</v>
      </c>
      <c r="F5" s="6">
        <v>11.1</v>
      </c>
      <c r="G5" s="6">
        <v>9.4</v>
      </c>
      <c r="H5" s="28">
        <f>E5*1.77</f>
        <v>8.85</v>
      </c>
      <c r="I5" s="29">
        <f>-((G5-H5)/G5)</f>
        <v>-0.05851063829787241</v>
      </c>
      <c r="J5" s="150">
        <f>H5-G5</f>
        <v>-0.5500000000000007</v>
      </c>
      <c r="K5" s="28">
        <f>((F5/D5)^2)*E5</f>
        <v>11.249999999999996</v>
      </c>
      <c r="L5" s="29">
        <f>-((G5-K5)/G5)</f>
        <v>0.19680851063829746</v>
      </c>
      <c r="M5" s="150">
        <f>K5-G5</f>
        <v>1.849999999999996</v>
      </c>
    </row>
    <row r="6" spans="1:13" ht="12.75">
      <c r="A6" t="s">
        <v>495</v>
      </c>
      <c r="B6" s="6">
        <v>34</v>
      </c>
      <c r="C6" t="s">
        <v>496</v>
      </c>
      <c r="D6" s="6">
        <v>11.1</v>
      </c>
      <c r="E6" s="6">
        <v>3.8</v>
      </c>
      <c r="F6" s="6">
        <v>14.8</v>
      </c>
      <c r="G6" s="6">
        <v>6.1</v>
      </c>
      <c r="H6" s="28">
        <f>E6*1.594</f>
        <v>6.057199999999999</v>
      </c>
      <c r="I6" s="29">
        <f>-((G6-H6)/G6)</f>
        <v>-0.007016393442623052</v>
      </c>
      <c r="J6" s="150">
        <f>H6-G6</f>
        <v>-0.042800000000000615</v>
      </c>
      <c r="K6" s="28">
        <f>((F6/D6)^2)*E6</f>
        <v>6.755555555555556</v>
      </c>
      <c r="L6" s="29">
        <f>-((G6-K6)/G6)</f>
        <v>0.10746812386156669</v>
      </c>
      <c r="M6" s="150">
        <f>K6-G6</f>
        <v>0.6555555555555568</v>
      </c>
    </row>
    <row r="7" spans="9:13" ht="12.75">
      <c r="I7" s="27"/>
      <c r="J7" s="150"/>
      <c r="M7" s="150"/>
    </row>
    <row r="8" spans="1:13" ht="12.75">
      <c r="A8" t="s">
        <v>497</v>
      </c>
      <c r="B8" s="6">
        <v>75</v>
      </c>
      <c r="C8" t="s">
        <v>498</v>
      </c>
      <c r="D8" s="6">
        <v>7.4</v>
      </c>
      <c r="E8" s="6">
        <v>9.8</v>
      </c>
      <c r="F8" s="6">
        <v>11.1</v>
      </c>
      <c r="G8" s="6">
        <v>19.4</v>
      </c>
      <c r="H8" s="28">
        <f>E8*1.771</f>
        <v>17.355800000000002</v>
      </c>
      <c r="I8" s="29">
        <f>-((G8-H8)/G8)</f>
        <v>-0.10537113402061839</v>
      </c>
      <c r="J8" s="150">
        <f>H8-G8</f>
        <v>-2.0441999999999965</v>
      </c>
      <c r="K8" s="28">
        <f>((F8/D8)^2)*E8</f>
        <v>22.049999999999994</v>
      </c>
      <c r="L8" s="29">
        <f>-((G8-K8)/G8)</f>
        <v>0.13659793814432966</v>
      </c>
      <c r="M8" s="150">
        <f>K8-G8</f>
        <v>2.649999999999995</v>
      </c>
    </row>
    <row r="9" spans="1:13" ht="12.75">
      <c r="A9" t="s">
        <v>497</v>
      </c>
      <c r="B9" s="6">
        <v>75</v>
      </c>
      <c r="C9" t="s">
        <v>498</v>
      </c>
      <c r="D9" s="6">
        <v>11.1</v>
      </c>
      <c r="E9" s="6">
        <v>19.4</v>
      </c>
      <c r="F9" s="6">
        <v>14.8</v>
      </c>
      <c r="G9" s="6">
        <v>31.4</v>
      </c>
      <c r="H9" s="28">
        <f>E9*1.594</f>
        <v>30.923599999999993</v>
      </c>
      <c r="I9" s="29">
        <f>-((G9-H9)/G9)</f>
        <v>-0.015171974522293161</v>
      </c>
      <c r="J9" s="150">
        <f>H9-G9</f>
        <v>-0.47640000000000526</v>
      </c>
      <c r="K9" s="28">
        <f>((F9/D9)^2)*E9</f>
        <v>34.488888888888894</v>
      </c>
      <c r="L9" s="29">
        <f>-((G9-K9)/G9)</f>
        <v>0.09837225760792662</v>
      </c>
      <c r="M9" s="150">
        <f>K9-G9</f>
        <v>3.0888888888888957</v>
      </c>
    </row>
    <row r="10" spans="1:13" ht="12.75">
      <c r="A10" t="s">
        <v>499</v>
      </c>
      <c r="B10" s="6">
        <v>72</v>
      </c>
      <c r="C10" t="s">
        <v>500</v>
      </c>
      <c r="D10" s="6">
        <v>11.1</v>
      </c>
      <c r="E10" s="6">
        <v>18.9</v>
      </c>
      <c r="F10" s="6">
        <v>14.8</v>
      </c>
      <c r="G10" s="6">
        <v>28.4</v>
      </c>
      <c r="H10" s="28">
        <f>E10*1.594</f>
        <v>30.126599999999996</v>
      </c>
      <c r="I10" s="29">
        <f>-((G10-H10)/G10)</f>
        <v>0.06079577464788725</v>
      </c>
      <c r="J10" s="150">
        <f>H10-G10</f>
        <v>1.7265999999999977</v>
      </c>
      <c r="K10" s="28">
        <f>((F10/D10)^2)*E10</f>
        <v>33.6</v>
      </c>
      <c r="L10" s="29">
        <f>-((G10-K10)/G10)</f>
        <v>0.1830985915492959</v>
      </c>
      <c r="M10" s="150">
        <f>K10-G10</f>
        <v>5.200000000000003</v>
      </c>
    </row>
    <row r="11" spans="1:13" ht="12.75">
      <c r="A11" t="s">
        <v>501</v>
      </c>
      <c r="B11" s="6">
        <v>76</v>
      </c>
      <c r="C11" t="s">
        <v>502</v>
      </c>
      <c r="D11" s="6">
        <v>7.4</v>
      </c>
      <c r="E11" s="6">
        <v>15.1</v>
      </c>
      <c r="F11" s="6">
        <v>11.1</v>
      </c>
      <c r="G11" s="6">
        <v>28.9</v>
      </c>
      <c r="H11" s="28">
        <f>E11*1.771</f>
        <v>26.742099999999997</v>
      </c>
      <c r="I11" s="29">
        <f>-((G11-H11)/G11)</f>
        <v>-0.07466782006920421</v>
      </c>
      <c r="J11" s="150">
        <f>H11-G11</f>
        <v>-2.1579000000000015</v>
      </c>
      <c r="K11" s="28">
        <f>((F11/D11)^2)*E11</f>
        <v>33.97499999999999</v>
      </c>
      <c r="L11" s="29">
        <f>-((G11-K11)/G11)</f>
        <v>0.17560553633217954</v>
      </c>
      <c r="M11" s="150">
        <f>K11-G11</f>
        <v>5.074999999999989</v>
      </c>
    </row>
    <row r="13" ht="12.75">
      <c r="A13" t="s">
        <v>503</v>
      </c>
    </row>
    <row r="14" spans="1:13" ht="12.75">
      <c r="A14" t="s">
        <v>0</v>
      </c>
      <c r="B14" s="6" t="s">
        <v>481</v>
      </c>
      <c r="C14" t="s">
        <v>1</v>
      </c>
      <c r="D14" s="6" t="s">
        <v>482</v>
      </c>
      <c r="E14" s="6" t="s">
        <v>483</v>
      </c>
      <c r="F14" s="6" t="s">
        <v>484</v>
      </c>
      <c r="G14" s="6" t="s">
        <v>485</v>
      </c>
      <c r="H14" s="6" t="s">
        <v>486</v>
      </c>
      <c r="I14" s="6" t="s">
        <v>487</v>
      </c>
      <c r="J14" s="6" t="s">
        <v>488</v>
      </c>
      <c r="K14" s="6" t="s">
        <v>489</v>
      </c>
      <c r="L14" s="6" t="s">
        <v>490</v>
      </c>
      <c r="M14" s="6" t="s">
        <v>488</v>
      </c>
    </row>
    <row r="15" spans="1:13" ht="12.75">
      <c r="A15" t="s">
        <v>504</v>
      </c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t="s">
        <v>505</v>
      </c>
      <c r="B16" s="6">
        <v>396</v>
      </c>
      <c r="C16" t="s">
        <v>506</v>
      </c>
      <c r="D16" s="6">
        <v>29.6</v>
      </c>
      <c r="E16" s="6">
        <v>26.2</v>
      </c>
      <c r="F16" s="6">
        <v>33.3</v>
      </c>
      <c r="G16" s="6">
        <v>32</v>
      </c>
      <c r="H16" s="28">
        <f>E16*1.227</f>
        <v>32.147400000000005</v>
      </c>
      <c r="I16" s="29">
        <f>-((G16-H16)/G16)</f>
        <v>0.004606250000000145</v>
      </c>
      <c r="J16" s="150">
        <f>H16-G16</f>
        <v>0.14740000000000464</v>
      </c>
      <c r="K16" s="28">
        <f>((F16/D16)^2)*E16</f>
        <v>33.15937499999999</v>
      </c>
      <c r="L16" s="29">
        <f>-((G16-K16)/G16)</f>
        <v>0.03623046874999969</v>
      </c>
      <c r="M16" s="150">
        <f>K16-G16</f>
        <v>1.15937499999999</v>
      </c>
    </row>
    <row r="17" spans="1:13" ht="12.75">
      <c r="A17" t="s">
        <v>507</v>
      </c>
      <c r="B17" s="6"/>
      <c r="D17" s="6"/>
      <c r="E17" s="6"/>
      <c r="F17" s="6"/>
      <c r="G17" s="6"/>
      <c r="H17" s="28"/>
      <c r="I17" s="29"/>
      <c r="J17" s="150"/>
      <c r="K17" s="28"/>
      <c r="L17" s="29"/>
      <c r="M17" s="150"/>
    </row>
    <row r="18" spans="1:13" ht="12.75">
      <c r="A18" t="s">
        <v>505</v>
      </c>
      <c r="B18" s="6">
        <v>396</v>
      </c>
      <c r="C18" t="s">
        <v>506</v>
      </c>
      <c r="D18" s="6">
        <v>33.3</v>
      </c>
      <c r="E18" s="6">
        <v>32</v>
      </c>
      <c r="F18" s="6">
        <v>37</v>
      </c>
      <c r="G18" s="6">
        <v>38.1</v>
      </c>
      <c r="H18" s="28">
        <f>E18*1.202</f>
        <v>38.464</v>
      </c>
      <c r="I18" s="29">
        <f>-((G18-H18)/G18)</f>
        <v>0.009553805774278142</v>
      </c>
      <c r="J18" s="150">
        <f>H18-G18</f>
        <v>0.3639999999999972</v>
      </c>
      <c r="K18" s="28">
        <f>((F18/D18)^2)*E18</f>
        <v>39.50617283950618</v>
      </c>
      <c r="L18" s="29">
        <f>-((G18-K18)/G18)</f>
        <v>0.03690742360908599</v>
      </c>
      <c r="M18" s="150">
        <f>K18-G18</f>
        <v>1.4061728395061763</v>
      </c>
    </row>
    <row r="19" ht="12.75">
      <c r="A19" t="s">
        <v>508</v>
      </c>
    </row>
    <row r="20" spans="1:13" ht="12.75">
      <c r="A20" t="s">
        <v>505</v>
      </c>
      <c r="B20" s="6">
        <v>396</v>
      </c>
      <c r="C20" t="s">
        <v>506</v>
      </c>
      <c r="D20" s="6">
        <v>29.6</v>
      </c>
      <c r="E20" s="6">
        <v>26.2</v>
      </c>
      <c r="F20" s="6">
        <v>37</v>
      </c>
      <c r="G20" s="6">
        <v>38.1</v>
      </c>
      <c r="H20" s="28">
        <f>E20*1.471</f>
        <v>38.5402</v>
      </c>
      <c r="I20" s="29">
        <f>-((G20-H20)/G20)</f>
        <v>0.011553805774278144</v>
      </c>
      <c r="J20" s="150">
        <f>H20-G20</f>
        <v>0.44019999999999726</v>
      </c>
      <c r="K20" s="28">
        <f>((F20/D20)^2)*E20</f>
        <v>40.9375</v>
      </c>
      <c r="L20" s="29">
        <f>-((G20-K20)/G20)</f>
        <v>0.07447506561679786</v>
      </c>
      <c r="M20" s="150">
        <f>K20-G20</f>
        <v>2.8374999999999986</v>
      </c>
    </row>
    <row r="21" spans="2:13" ht="12.75">
      <c r="B21" s="6"/>
      <c r="D21" s="6"/>
      <c r="E21" s="6"/>
      <c r="F21" s="6"/>
      <c r="G21" s="6"/>
      <c r="H21" s="28"/>
      <c r="I21" s="29"/>
      <c r="J21" s="150"/>
      <c r="K21" s="28"/>
      <c r="L21" s="29"/>
      <c r="M21" s="150"/>
    </row>
    <row r="22" spans="1:13" ht="12.75">
      <c r="A22" t="s">
        <v>509</v>
      </c>
      <c r="B22" s="6"/>
      <c r="D22" s="6"/>
      <c r="E22" s="6"/>
      <c r="F22" s="6"/>
      <c r="G22" s="6"/>
      <c r="H22" s="28"/>
      <c r="I22" s="29"/>
      <c r="J22" s="150"/>
      <c r="K22" s="28"/>
      <c r="L22" s="29"/>
      <c r="M22" s="150"/>
    </row>
    <row r="23" spans="1:13" ht="12.75">
      <c r="A23" t="s">
        <v>0</v>
      </c>
      <c r="B23" s="6" t="s">
        <v>481</v>
      </c>
      <c r="C23" t="s">
        <v>1</v>
      </c>
      <c r="D23" s="6" t="s">
        <v>482</v>
      </c>
      <c r="E23" s="6" t="s">
        <v>483</v>
      </c>
      <c r="F23" s="6" t="s">
        <v>484</v>
      </c>
      <c r="G23" s="6" t="s">
        <v>485</v>
      </c>
      <c r="H23" s="6" t="s">
        <v>486</v>
      </c>
      <c r="I23" s="6" t="s">
        <v>487</v>
      </c>
      <c r="J23" s="6" t="s">
        <v>488</v>
      </c>
      <c r="K23" s="6" t="s">
        <v>489</v>
      </c>
      <c r="L23" s="6" t="s">
        <v>490</v>
      </c>
      <c r="M23" s="6" t="s">
        <v>488</v>
      </c>
    </row>
    <row r="24" spans="1:13" ht="12.75">
      <c r="A24" t="s">
        <v>510</v>
      </c>
      <c r="B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t="s">
        <v>511</v>
      </c>
      <c r="B25" s="6">
        <v>300</v>
      </c>
      <c r="C25" t="s">
        <v>512</v>
      </c>
      <c r="D25" s="6">
        <v>22.2</v>
      </c>
      <c r="E25" s="6">
        <v>33</v>
      </c>
      <c r="F25" s="6">
        <v>25.9</v>
      </c>
      <c r="G25" s="6">
        <v>41.9</v>
      </c>
      <c r="H25" s="28">
        <f>E25*1.304</f>
        <v>43.032000000000004</v>
      </c>
      <c r="I25" s="29">
        <f>-((G25-H25)/G25)</f>
        <v>0.027016706443914202</v>
      </c>
      <c r="J25" s="150">
        <f>H25-G25</f>
        <v>1.132000000000005</v>
      </c>
      <c r="K25" s="28">
        <f>((F25/D25)^2)*E25</f>
        <v>44.91666666666668</v>
      </c>
      <c r="L25" s="29">
        <f>-((G25-K25)/G25)</f>
        <v>0.07199681782020716</v>
      </c>
      <c r="M25" s="150">
        <f>K25-G25</f>
        <v>3.01666666666668</v>
      </c>
    </row>
    <row r="26" spans="1:13" ht="12.75">
      <c r="A26" t="s">
        <v>513</v>
      </c>
      <c r="B26" s="6"/>
      <c r="D26" s="6"/>
      <c r="E26" s="6"/>
      <c r="F26" s="6"/>
      <c r="G26" s="6"/>
      <c r="H26" s="28"/>
      <c r="I26" s="29"/>
      <c r="J26" s="150"/>
      <c r="K26" s="28"/>
      <c r="L26" s="29"/>
      <c r="M26" s="150"/>
    </row>
    <row r="27" spans="1:13" ht="12.75">
      <c r="A27" t="s">
        <v>511</v>
      </c>
      <c r="B27" s="6">
        <v>300</v>
      </c>
      <c r="C27" t="s">
        <v>512</v>
      </c>
      <c r="D27" s="6">
        <v>25.9</v>
      </c>
      <c r="E27" s="6">
        <v>41.9</v>
      </c>
      <c r="F27" s="6">
        <v>29.6</v>
      </c>
      <c r="G27" s="6">
        <v>51.2</v>
      </c>
      <c r="H27" s="28">
        <f>E27*1.26</f>
        <v>52.794</v>
      </c>
      <c r="I27" s="29">
        <f>-((G27-H27)/G27)</f>
        <v>0.031132812499999885</v>
      </c>
      <c r="J27" s="150">
        <f>H27-G27</f>
        <v>1.593999999999994</v>
      </c>
      <c r="K27" s="28">
        <f>((F27/D27)^2)*E27</f>
        <v>54.72653061224491</v>
      </c>
      <c r="L27" s="29">
        <f>-((G27-K27)/G27)</f>
        <v>0.0688775510204083</v>
      </c>
      <c r="M27" s="150">
        <f>K27-G27</f>
        <v>3.5265306122449047</v>
      </c>
    </row>
    <row r="28" spans="1:13" ht="12.75">
      <c r="A28" t="s">
        <v>514</v>
      </c>
      <c r="B28" s="6"/>
      <c r="D28" s="6"/>
      <c r="E28" s="6"/>
      <c r="F28" s="6"/>
      <c r="G28" s="6"/>
      <c r="H28" s="28"/>
      <c r="I28" s="29"/>
      <c r="J28" s="150"/>
      <c r="K28" s="28"/>
      <c r="L28" s="29"/>
      <c r="M28" s="150"/>
    </row>
    <row r="29" spans="1:13" ht="12.75">
      <c r="A29" t="s">
        <v>511</v>
      </c>
      <c r="B29" s="6">
        <v>300</v>
      </c>
      <c r="C29" t="s">
        <v>512</v>
      </c>
      <c r="D29" s="6">
        <v>22.2</v>
      </c>
      <c r="E29" s="6">
        <v>33</v>
      </c>
      <c r="F29" s="6">
        <v>29.6</v>
      </c>
      <c r="G29" s="6">
        <v>51.2</v>
      </c>
      <c r="H29" s="28">
        <f>E29*1.645</f>
        <v>54.285000000000004</v>
      </c>
      <c r="I29" s="29">
        <f>-((G29-H29)/G29)</f>
        <v>0.06025390625000002</v>
      </c>
      <c r="J29" s="150">
        <f>H29-G29</f>
        <v>3.085000000000001</v>
      </c>
      <c r="K29" s="28">
        <f>((F29/D29)^2)*E29</f>
        <v>58.66666666666668</v>
      </c>
      <c r="L29" s="29">
        <f>-((G29-K29)/G29)</f>
        <v>0.1458333333333335</v>
      </c>
      <c r="M29" s="150">
        <f>K29-G29</f>
        <v>7.466666666666676</v>
      </c>
    </row>
    <row r="30" spans="1:13" ht="12.75">
      <c r="A30" s="88" t="s">
        <v>515</v>
      </c>
      <c r="B30" s="6"/>
      <c r="D30" s="6"/>
      <c r="E30" s="6"/>
      <c r="F30" s="6"/>
      <c r="G30" s="6"/>
      <c r="H30" s="28"/>
      <c r="I30" s="29"/>
      <c r="J30" s="150"/>
      <c r="K30" s="28"/>
      <c r="L30" s="29"/>
      <c r="M30" s="150"/>
    </row>
    <row r="31" spans="1:13" ht="12.75">
      <c r="A31" s="88"/>
      <c r="B31" s="6"/>
      <c r="D31" s="6"/>
      <c r="E31" s="6"/>
      <c r="F31" s="6"/>
      <c r="G31" s="6"/>
      <c r="H31" s="28"/>
      <c r="I31" s="29"/>
      <c r="J31" s="150"/>
      <c r="K31" s="28"/>
      <c r="L31" s="29"/>
      <c r="M31" s="150"/>
    </row>
    <row r="32" spans="1:13" ht="12.75">
      <c r="A32" t="s">
        <v>516</v>
      </c>
      <c r="B32" s="6"/>
      <c r="D32" s="6"/>
      <c r="E32" s="6"/>
      <c r="F32" s="6"/>
      <c r="G32" s="6"/>
      <c r="H32" s="28"/>
      <c r="I32" s="29"/>
      <c r="J32" s="150"/>
      <c r="K32" s="28"/>
      <c r="L32" s="29"/>
      <c r="M32" s="150"/>
    </row>
    <row r="33" spans="1:13" ht="12.75">
      <c r="A33" t="s">
        <v>0</v>
      </c>
      <c r="B33" s="6" t="s">
        <v>481</v>
      </c>
      <c r="C33" t="s">
        <v>1</v>
      </c>
      <c r="D33" s="6" t="s">
        <v>482</v>
      </c>
      <c r="E33" s="6" t="s">
        <v>483</v>
      </c>
      <c r="F33" s="6" t="s">
        <v>484</v>
      </c>
      <c r="G33" s="6" t="s">
        <v>485</v>
      </c>
      <c r="H33" s="6" t="s">
        <v>486</v>
      </c>
      <c r="I33" s="6" t="s">
        <v>487</v>
      </c>
      <c r="J33" s="6" t="s">
        <v>488</v>
      </c>
      <c r="K33" s="6" t="s">
        <v>489</v>
      </c>
      <c r="L33" s="6" t="s">
        <v>490</v>
      </c>
      <c r="M33" s="6" t="s">
        <v>488</v>
      </c>
    </row>
    <row r="34" spans="1:13" ht="12.75">
      <c r="A34" t="s">
        <v>517</v>
      </c>
      <c r="B34" s="6">
        <v>261</v>
      </c>
      <c r="C34" t="s">
        <v>518</v>
      </c>
      <c r="D34" s="6">
        <v>18.5</v>
      </c>
      <c r="E34" s="6">
        <v>35.9</v>
      </c>
      <c r="F34" s="6">
        <v>22.2</v>
      </c>
      <c r="G34" s="6">
        <v>48.2</v>
      </c>
      <c r="H34" s="28">
        <f>E34*1.366</f>
        <v>49.0394</v>
      </c>
      <c r="I34" s="29">
        <f>-((G34-H34)/G34)</f>
        <v>0.01741493775933605</v>
      </c>
      <c r="J34" s="150">
        <f>H34-G34</f>
        <v>0.8393999999999977</v>
      </c>
      <c r="K34" s="28">
        <f>((F34/D34)^2)*E34</f>
        <v>51.696</v>
      </c>
      <c r="L34" s="29">
        <f>-((G34-K34)/G34)</f>
        <v>0.0725311203319501</v>
      </c>
      <c r="M34" s="150">
        <f>K34-G34</f>
        <v>3.495999999999995</v>
      </c>
    </row>
    <row r="35" spans="1:13" ht="12.75">
      <c r="A35" t="s">
        <v>517</v>
      </c>
      <c r="B35" s="6">
        <v>261</v>
      </c>
      <c r="C35" t="s">
        <v>518</v>
      </c>
      <c r="D35" s="6">
        <v>14.8</v>
      </c>
      <c r="E35" s="6">
        <v>24.7</v>
      </c>
      <c r="F35" s="6">
        <v>18.5</v>
      </c>
      <c r="G35" s="6">
        <v>35.9</v>
      </c>
      <c r="H35" s="28">
        <f>E35*1.461</f>
        <v>36.0867</v>
      </c>
      <c r="I35" s="29">
        <f>-((G35-H35)/G35)</f>
        <v>0.005200557103064119</v>
      </c>
      <c r="J35" s="150">
        <f>H35-G35</f>
        <v>0.18670000000000186</v>
      </c>
      <c r="K35" s="28">
        <f>((F35/D35)^2)*E35</f>
        <v>38.59375</v>
      </c>
      <c r="L35" s="29">
        <f>-((G35-K35)/G35)</f>
        <v>0.07503481894150422</v>
      </c>
      <c r="M35" s="150">
        <f>K35-G35</f>
        <v>2.6937500000000014</v>
      </c>
    </row>
    <row r="36" spans="1:13" ht="12.75">
      <c r="A36" s="88" t="s">
        <v>519</v>
      </c>
      <c r="B36" s="6"/>
      <c r="D36" s="6"/>
      <c r="E36" s="6"/>
      <c r="F36" s="6"/>
      <c r="G36" s="6"/>
      <c r="H36" s="28"/>
      <c r="I36" s="29"/>
      <c r="J36" s="150"/>
      <c r="K36" s="28"/>
      <c r="L36" s="29"/>
      <c r="M36" s="150"/>
    </row>
    <row r="37" spans="1:13" ht="12.75">
      <c r="A37" s="88"/>
      <c r="B37" s="6"/>
      <c r="D37" s="6"/>
      <c r="E37" s="6"/>
      <c r="F37" s="6"/>
      <c r="G37" s="6"/>
      <c r="H37" s="28"/>
      <c r="I37" s="29"/>
      <c r="J37" s="150"/>
      <c r="K37" s="28"/>
      <c r="L37" s="29"/>
      <c r="M37" s="150"/>
    </row>
    <row r="38" spans="1:13" ht="12.75">
      <c r="A38" t="s">
        <v>520</v>
      </c>
      <c r="B38" s="6"/>
      <c r="D38" s="6"/>
      <c r="E38" s="6"/>
      <c r="F38" s="6"/>
      <c r="G38" s="6"/>
      <c r="H38" s="28"/>
      <c r="I38" s="29"/>
      <c r="J38" s="150"/>
      <c r="K38" s="28"/>
      <c r="L38" s="29"/>
      <c r="M38" s="150"/>
    </row>
    <row r="39" spans="1:13" ht="12.75">
      <c r="A39" t="s">
        <v>0</v>
      </c>
      <c r="B39" s="6" t="s">
        <v>481</v>
      </c>
      <c r="C39" t="s">
        <v>1</v>
      </c>
      <c r="D39" s="6" t="s">
        <v>482</v>
      </c>
      <c r="E39" s="6" t="s">
        <v>483</v>
      </c>
      <c r="F39" s="6" t="s">
        <v>484</v>
      </c>
      <c r="G39" s="6" t="s">
        <v>485</v>
      </c>
      <c r="H39" s="6" t="s">
        <v>486</v>
      </c>
      <c r="I39" s="6" t="s">
        <v>487</v>
      </c>
      <c r="J39" s="6" t="s">
        <v>488</v>
      </c>
      <c r="K39" s="6" t="s">
        <v>489</v>
      </c>
      <c r="L39" s="6" t="s">
        <v>490</v>
      </c>
      <c r="M39" s="6" t="s">
        <v>488</v>
      </c>
    </row>
    <row r="40" spans="1:13" ht="12.75">
      <c r="A40" t="s">
        <v>521</v>
      </c>
      <c r="B40" s="6">
        <v>205</v>
      </c>
      <c r="C40" t="s">
        <v>522</v>
      </c>
      <c r="D40" s="6">
        <v>14.8</v>
      </c>
      <c r="E40" s="6">
        <v>42.6</v>
      </c>
      <c r="F40" s="6">
        <v>18.5</v>
      </c>
      <c r="G40" s="6">
        <v>60</v>
      </c>
      <c r="H40" s="28">
        <f>E40*1.461</f>
        <v>62.238600000000005</v>
      </c>
      <c r="I40" s="29">
        <f>-((G40-H40)/G40)</f>
        <v>0.037310000000000086</v>
      </c>
      <c r="J40" s="150">
        <f>H40-G40</f>
        <v>2.2386000000000053</v>
      </c>
      <c r="K40" s="28">
        <f>((F40/D40)^2)*E40</f>
        <v>66.5625</v>
      </c>
      <c r="L40" s="29">
        <f>-((G40-K40)/G40)</f>
        <v>0.109375</v>
      </c>
      <c r="M40" s="150">
        <f>K40-G40</f>
        <v>6.5625</v>
      </c>
    </row>
    <row r="41" spans="1:13" ht="12.75">
      <c r="A41" t="s">
        <v>521</v>
      </c>
      <c r="B41" s="6">
        <v>205</v>
      </c>
      <c r="C41" t="s">
        <v>522</v>
      </c>
      <c r="D41" s="6">
        <v>11.1</v>
      </c>
      <c r="E41" s="6">
        <v>26.8</v>
      </c>
      <c r="F41" s="6">
        <v>14.8</v>
      </c>
      <c r="G41" s="6">
        <v>42.6</v>
      </c>
      <c r="H41" s="28">
        <f>E41*1.594</f>
        <v>42.7192</v>
      </c>
      <c r="I41" s="29">
        <f>-((G41-H41)/G41)</f>
        <v>0.002798122065727683</v>
      </c>
      <c r="J41" s="150">
        <f>H41-G41</f>
        <v>0.1191999999999993</v>
      </c>
      <c r="K41" s="28">
        <f>((F41/D41)^2)*E41</f>
        <v>47.64444444444445</v>
      </c>
      <c r="L41" s="29">
        <f>-((G41-K41)/G41)</f>
        <v>0.11841418883672421</v>
      </c>
      <c r="M41" s="150">
        <f>K41-G41</f>
        <v>5.044444444444451</v>
      </c>
    </row>
    <row r="42" spans="1:13" ht="12.75">
      <c r="A42" s="88" t="s">
        <v>523</v>
      </c>
      <c r="B42" s="6"/>
      <c r="D42" s="6"/>
      <c r="E42" s="6"/>
      <c r="F42" s="6"/>
      <c r="G42" s="6"/>
      <c r="H42" s="28"/>
      <c r="I42" s="29"/>
      <c r="J42" s="150"/>
      <c r="K42" s="28"/>
      <c r="L42" s="29"/>
      <c r="M42" s="150"/>
    </row>
    <row r="43" spans="1:13" ht="12.75">
      <c r="A43" s="88"/>
      <c r="B43" s="6"/>
      <c r="D43" s="6"/>
      <c r="E43" s="6"/>
      <c r="F43" s="6"/>
      <c r="G43" s="6"/>
      <c r="H43" s="28"/>
      <c r="I43" s="29"/>
      <c r="J43" s="150"/>
      <c r="K43" s="28"/>
      <c r="L43" s="29"/>
      <c r="M43" s="150"/>
    </row>
    <row r="44" spans="1:13" ht="12.75">
      <c r="A44" t="s">
        <v>524</v>
      </c>
      <c r="B44" s="6"/>
      <c r="D44" s="6"/>
      <c r="E44" s="6"/>
      <c r="F44" s="6"/>
      <c r="G44" s="6"/>
      <c r="H44" s="28"/>
      <c r="I44" s="29"/>
      <c r="J44" s="150"/>
      <c r="K44" s="28"/>
      <c r="L44" s="29"/>
      <c r="M44" s="150"/>
    </row>
    <row r="45" spans="1:13" ht="12.75">
      <c r="A45" t="s">
        <v>0</v>
      </c>
      <c r="B45" s="6" t="s">
        <v>481</v>
      </c>
      <c r="C45" t="s">
        <v>1</v>
      </c>
      <c r="D45" s="6" t="s">
        <v>482</v>
      </c>
      <c r="E45" s="6" t="s">
        <v>483</v>
      </c>
      <c r="F45" s="6" t="s">
        <v>484</v>
      </c>
      <c r="G45" s="6" t="s">
        <v>485</v>
      </c>
      <c r="H45" s="6" t="s">
        <v>486</v>
      </c>
      <c r="I45" s="6" t="s">
        <v>487</v>
      </c>
      <c r="J45" s="6" t="s">
        <v>488</v>
      </c>
      <c r="K45" s="6" t="s">
        <v>489</v>
      </c>
      <c r="L45" s="6" t="s">
        <v>490</v>
      </c>
      <c r="M45" s="6" t="s">
        <v>488</v>
      </c>
    </row>
    <row r="46" spans="1:13" ht="12.75">
      <c r="A46" t="s">
        <v>525</v>
      </c>
      <c r="B46" s="6">
        <v>104</v>
      </c>
      <c r="C46" t="s">
        <v>526</v>
      </c>
      <c r="D46" s="6">
        <v>7.4</v>
      </c>
      <c r="E46" s="6">
        <v>15</v>
      </c>
      <c r="F46" s="6">
        <v>11.1</v>
      </c>
      <c r="G46" s="6">
        <v>28.1</v>
      </c>
      <c r="H46" s="28">
        <f>E46*1.771</f>
        <v>26.564999999999998</v>
      </c>
      <c r="I46" s="29">
        <f>-((G46-H46)/G46)</f>
        <v>-0.054626334519573085</v>
      </c>
      <c r="J46" s="150">
        <f>H46-G46</f>
        <v>-1.5350000000000037</v>
      </c>
      <c r="K46" s="28">
        <f>((F46/D46)^2)*E46</f>
        <v>33.749999999999986</v>
      </c>
      <c r="L46" s="29">
        <f>-((G46-K46)/G46)</f>
        <v>0.20106761565836243</v>
      </c>
      <c r="M46" s="150">
        <f>K46-G46</f>
        <v>5.649999999999984</v>
      </c>
    </row>
    <row r="47" spans="1:13" ht="12.75">
      <c r="A47" t="s">
        <v>525</v>
      </c>
      <c r="B47" s="6">
        <v>104</v>
      </c>
      <c r="C47" t="s">
        <v>526</v>
      </c>
      <c r="D47" s="6">
        <v>11.1</v>
      </c>
      <c r="E47" s="6">
        <v>28.1</v>
      </c>
      <c r="F47" s="6">
        <v>14.8</v>
      </c>
      <c r="G47" s="6">
        <v>43.8</v>
      </c>
      <c r="H47" s="28">
        <f>E47*1.59</f>
        <v>44.678999999999995</v>
      </c>
      <c r="I47" s="29">
        <f>-((G47-H47)/G47)</f>
        <v>0.02006849315068488</v>
      </c>
      <c r="J47" s="150">
        <f>H47-G47</f>
        <v>0.8789999999999978</v>
      </c>
      <c r="K47" s="28">
        <f>((F47/D47)^2)*E47</f>
        <v>49.95555555555557</v>
      </c>
      <c r="L47" s="29">
        <f>-((G47-K47)/G47)</f>
        <v>0.14053779807204506</v>
      </c>
      <c r="M47" s="150">
        <f>K47-G47</f>
        <v>6.155555555555573</v>
      </c>
    </row>
    <row r="48" spans="1:13" ht="12.75">
      <c r="A48" s="88"/>
      <c r="B48" s="6"/>
      <c r="D48" s="6"/>
      <c r="E48" s="6"/>
      <c r="F48" s="6"/>
      <c r="G48" s="6"/>
      <c r="H48" s="28"/>
      <c r="I48" s="29"/>
      <c r="J48" s="150"/>
      <c r="K48" s="28"/>
      <c r="L48" s="29"/>
      <c r="M48" s="150"/>
    </row>
    <row r="49" spans="1:13" ht="12.75">
      <c r="A49" t="s">
        <v>527</v>
      </c>
      <c r="B49" s="6"/>
      <c r="D49" s="6"/>
      <c r="E49" s="6"/>
      <c r="F49" s="6"/>
      <c r="G49" s="6"/>
      <c r="H49" s="28"/>
      <c r="I49" s="29"/>
      <c r="J49" s="150"/>
      <c r="K49" s="28"/>
      <c r="L49" s="29"/>
      <c r="M49" s="150"/>
    </row>
    <row r="50" spans="1:13" ht="12.75">
      <c r="A50" t="s">
        <v>0</v>
      </c>
      <c r="B50" s="6" t="s">
        <v>481</v>
      </c>
      <c r="C50" t="s">
        <v>1</v>
      </c>
      <c r="D50" s="6" t="s">
        <v>482</v>
      </c>
      <c r="E50" s="6" t="s">
        <v>483</v>
      </c>
      <c r="F50" s="6" t="s">
        <v>484</v>
      </c>
      <c r="G50" s="6" t="s">
        <v>485</v>
      </c>
      <c r="H50" s="6" t="s">
        <v>486</v>
      </c>
      <c r="I50" s="6" t="s">
        <v>487</v>
      </c>
      <c r="J50" s="6" t="s">
        <v>488</v>
      </c>
      <c r="K50" s="6" t="s">
        <v>489</v>
      </c>
      <c r="L50" s="6" t="s">
        <v>490</v>
      </c>
      <c r="M50" s="6" t="s">
        <v>488</v>
      </c>
    </row>
    <row r="51" spans="1:13" ht="12.75">
      <c r="A51" t="s">
        <v>528</v>
      </c>
      <c r="B51" s="6">
        <v>152</v>
      </c>
      <c r="C51" t="s">
        <v>526</v>
      </c>
      <c r="D51" s="6">
        <v>7.4</v>
      </c>
      <c r="E51" s="6">
        <v>11</v>
      </c>
      <c r="F51" s="6">
        <v>11.1</v>
      </c>
      <c r="G51" s="6">
        <v>21.5</v>
      </c>
      <c r="H51" s="28">
        <f>E51*1.771</f>
        <v>19.480999999999998</v>
      </c>
      <c r="I51" s="29">
        <f>-((G51-H51)/G51)</f>
        <v>-0.09390697674418613</v>
      </c>
      <c r="J51" s="150">
        <f>H51-G51</f>
        <v>-2.019000000000002</v>
      </c>
      <c r="K51" s="28">
        <f>((F51/D51)^2)*E51</f>
        <v>24.74999999999999</v>
      </c>
      <c r="L51" s="29">
        <f>-((G51-K51)/G51)</f>
        <v>0.1511627906976739</v>
      </c>
      <c r="M51" s="150">
        <f>K51-G51</f>
        <v>3.2499999999999893</v>
      </c>
    </row>
    <row r="52" spans="1:13" ht="12.75">
      <c r="A52" t="s">
        <v>528</v>
      </c>
      <c r="B52" s="6">
        <v>152</v>
      </c>
      <c r="C52" t="s">
        <v>526</v>
      </c>
      <c r="D52" s="6">
        <v>11.1</v>
      </c>
      <c r="E52" s="6">
        <v>21.5</v>
      </c>
      <c r="F52" s="6">
        <v>14.8</v>
      </c>
      <c r="G52" s="6">
        <v>34.5</v>
      </c>
      <c r="H52" s="28">
        <f>E52*1.594</f>
        <v>34.270999999999994</v>
      </c>
      <c r="I52" s="29">
        <f>-((G52-H52)/G52)</f>
        <v>-0.006637681159420473</v>
      </c>
      <c r="J52" s="150">
        <f>H52-G52</f>
        <v>-0.2290000000000063</v>
      </c>
      <c r="K52" s="28">
        <f>((F52/D52)^2)*E52</f>
        <v>38.22222222222223</v>
      </c>
      <c r="L52" s="29">
        <f>-((G52-K52)/G52)</f>
        <v>0.10789049919484721</v>
      </c>
      <c r="M52" s="150">
        <f>K52-G52</f>
        <v>3.7222222222222285</v>
      </c>
    </row>
    <row r="53" spans="1:13" ht="12.75">
      <c r="A53" t="s">
        <v>528</v>
      </c>
      <c r="B53" s="6">
        <v>152</v>
      </c>
      <c r="C53" t="s">
        <v>526</v>
      </c>
      <c r="D53" s="6">
        <v>14.8</v>
      </c>
      <c r="E53" s="6">
        <v>34.5</v>
      </c>
      <c r="F53" s="6">
        <v>18.5</v>
      </c>
      <c r="G53" s="6">
        <v>48.4</v>
      </c>
      <c r="H53" s="28">
        <f>E53*1.461</f>
        <v>50.404500000000006</v>
      </c>
      <c r="I53" s="29">
        <f>-((G53-H53)/G53)</f>
        <v>0.0414152892561985</v>
      </c>
      <c r="J53" s="150">
        <f>H53-G53</f>
        <v>2.0045000000000073</v>
      </c>
      <c r="K53" s="28">
        <f>((F53/D53)^2)*E53</f>
        <v>53.90625</v>
      </c>
      <c r="L53" s="29">
        <f>-((G53-K53)/G53)</f>
        <v>0.11376549586776863</v>
      </c>
      <c r="M53" s="150">
        <f>K53-G53</f>
        <v>5.506250000000001</v>
      </c>
    </row>
    <row r="54" spans="2:13" ht="12.75">
      <c r="B54" s="6"/>
      <c r="D54" s="6"/>
      <c r="E54" s="6"/>
      <c r="F54" s="6"/>
      <c r="G54" s="6"/>
      <c r="H54" s="28"/>
      <c r="I54" s="29"/>
      <c r="J54" s="150"/>
      <c r="K54" s="28"/>
      <c r="L54" s="29"/>
      <c r="M54" s="150"/>
    </row>
    <row r="55" spans="1:13" ht="12.75">
      <c r="A55" t="s">
        <v>529</v>
      </c>
      <c r="B55" s="6"/>
      <c r="D55" s="6"/>
      <c r="E55" s="6"/>
      <c r="F55" s="6"/>
      <c r="G55" s="6"/>
      <c r="H55" s="28"/>
      <c r="I55" s="29"/>
      <c r="J55" s="150"/>
      <c r="K55" s="28"/>
      <c r="L55" s="29"/>
      <c r="M55" s="150"/>
    </row>
    <row r="56" spans="1:13" ht="12.75">
      <c r="A56" t="s">
        <v>0</v>
      </c>
      <c r="B56" s="6" t="s">
        <v>481</v>
      </c>
      <c r="C56" t="s">
        <v>1</v>
      </c>
      <c r="D56" s="6" t="s">
        <v>482</v>
      </c>
      <c r="E56" s="6" t="s">
        <v>483</v>
      </c>
      <c r="F56" s="6" t="s">
        <v>484</v>
      </c>
      <c r="G56" s="6" t="s">
        <v>485</v>
      </c>
      <c r="H56" s="6" t="s">
        <v>486</v>
      </c>
      <c r="I56" s="6" t="s">
        <v>487</v>
      </c>
      <c r="J56" s="6" t="s">
        <v>488</v>
      </c>
      <c r="K56" s="6" t="s">
        <v>489</v>
      </c>
      <c r="L56" s="6" t="s">
        <v>490</v>
      </c>
      <c r="M56" s="6" t="s">
        <v>488</v>
      </c>
    </row>
    <row r="57" spans="1:13" ht="12.75">
      <c r="A57" t="s">
        <v>530</v>
      </c>
      <c r="B57" s="6">
        <v>20</v>
      </c>
      <c r="C57" t="s">
        <v>531</v>
      </c>
      <c r="D57" s="6">
        <v>7.4</v>
      </c>
      <c r="E57" s="6">
        <v>5.5</v>
      </c>
      <c r="F57" s="6">
        <v>11.1</v>
      </c>
      <c r="G57" s="6">
        <v>9.6</v>
      </c>
      <c r="H57" s="28">
        <f>E57*1.771</f>
        <v>9.740499999999999</v>
      </c>
      <c r="I57" s="29">
        <f>-((G57-H57)/G57)</f>
        <v>0.014635416666666606</v>
      </c>
      <c r="J57" s="150">
        <f>H57-G57</f>
        <v>0.1404999999999994</v>
      </c>
      <c r="K57" s="28">
        <f>((F57/D57)^2)*E57</f>
        <v>12.374999999999995</v>
      </c>
      <c r="L57" s="29">
        <f>-((G57-K57)/G57)</f>
        <v>0.2890624999999995</v>
      </c>
      <c r="M57" s="150">
        <f>K57-G57</f>
        <v>2.774999999999995</v>
      </c>
    </row>
    <row r="58" spans="2:13" ht="12.75">
      <c r="B58" s="6"/>
      <c r="D58" s="6"/>
      <c r="E58" s="6"/>
      <c r="F58" s="6"/>
      <c r="G58" s="6"/>
      <c r="H58" s="28"/>
      <c r="I58" s="29"/>
      <c r="J58" s="150"/>
      <c r="K58" s="28"/>
      <c r="L58" s="29"/>
      <c r="M58" s="150"/>
    </row>
    <row r="59" spans="1:13" ht="12.75">
      <c r="A59" t="s">
        <v>532</v>
      </c>
      <c r="B59" s="6"/>
      <c r="D59" s="6"/>
      <c r="E59" s="6"/>
      <c r="F59" s="6"/>
      <c r="G59" s="6"/>
      <c r="H59" s="28"/>
      <c r="I59" s="29"/>
      <c r="J59" s="150"/>
      <c r="K59" s="28"/>
      <c r="L59" s="29"/>
      <c r="M59" s="150"/>
    </row>
    <row r="60" spans="1:13" ht="12.75">
      <c r="A60" t="s">
        <v>0</v>
      </c>
      <c r="B60" s="6" t="s">
        <v>481</v>
      </c>
      <c r="C60" t="s">
        <v>1</v>
      </c>
      <c r="D60" s="6" t="s">
        <v>482</v>
      </c>
      <c r="E60" s="6" t="s">
        <v>483</v>
      </c>
      <c r="F60" s="6" t="s">
        <v>484</v>
      </c>
      <c r="G60" s="6" t="s">
        <v>485</v>
      </c>
      <c r="H60" s="6" t="s">
        <v>486</v>
      </c>
      <c r="I60" s="6" t="s">
        <v>487</v>
      </c>
      <c r="J60" s="6" t="s">
        <v>488</v>
      </c>
      <c r="K60" s="6" t="s">
        <v>489</v>
      </c>
      <c r="L60" s="6" t="s">
        <v>490</v>
      </c>
      <c r="M60" s="6" t="s">
        <v>488</v>
      </c>
    </row>
    <row r="61" spans="1:13" ht="12.75">
      <c r="A61" t="s">
        <v>533</v>
      </c>
      <c r="B61" s="6">
        <v>666</v>
      </c>
      <c r="C61" t="s">
        <v>534</v>
      </c>
      <c r="D61" s="6">
        <v>14.8</v>
      </c>
      <c r="E61" s="6">
        <v>25.5</v>
      </c>
      <c r="F61" s="6">
        <v>18.5</v>
      </c>
      <c r="G61" s="6">
        <v>36</v>
      </c>
      <c r="H61" s="28">
        <f>E61*1.461</f>
        <v>37.255500000000005</v>
      </c>
      <c r="I61" s="29">
        <f>-((G61-H61)/G61)</f>
        <v>0.034875000000000135</v>
      </c>
      <c r="J61" s="150">
        <f>H61-G61</f>
        <v>1.255500000000005</v>
      </c>
      <c r="K61" s="28">
        <f>((F61/D61)^2)*E61</f>
        <v>39.84375</v>
      </c>
      <c r="L61" s="29">
        <f>-((G61-K61)/G61)</f>
        <v>0.10677083333333333</v>
      </c>
      <c r="M61" s="150">
        <f>K61-G61</f>
        <v>3.84375</v>
      </c>
    </row>
    <row r="62" spans="1:13" ht="12.75">
      <c r="A62" t="s">
        <v>533</v>
      </c>
      <c r="B62" s="6">
        <v>666</v>
      </c>
      <c r="C62" t="s">
        <v>534</v>
      </c>
      <c r="D62" s="6">
        <v>18.5</v>
      </c>
      <c r="E62" s="6">
        <v>36</v>
      </c>
      <c r="F62" s="6">
        <v>22.2</v>
      </c>
      <c r="G62" s="6">
        <v>47.7</v>
      </c>
      <c r="H62" s="28">
        <f>E62*1.366</f>
        <v>49.176</v>
      </c>
      <c r="I62" s="29">
        <f>-((G62-H62)/G62)</f>
        <v>0.030943396226415072</v>
      </c>
      <c r="J62" s="150">
        <f>H62-G62</f>
        <v>1.475999999999999</v>
      </c>
      <c r="K62" s="28">
        <f>((F62/D62)^2)*E62</f>
        <v>51.839999999999996</v>
      </c>
      <c r="L62" s="29">
        <f>-((G62-K62)/G62)</f>
        <v>0.08679245283018854</v>
      </c>
      <c r="M62" s="150">
        <f>K62-G62</f>
        <v>4.1399999999999935</v>
      </c>
    </row>
    <row r="63" spans="1:13" ht="12.75">
      <c r="A63" t="s">
        <v>533</v>
      </c>
      <c r="B63" s="6">
        <v>666</v>
      </c>
      <c r="C63" t="s">
        <v>534</v>
      </c>
      <c r="D63" s="6">
        <v>22.2</v>
      </c>
      <c r="E63" s="6">
        <v>47.7</v>
      </c>
      <c r="F63" s="6">
        <v>25.9</v>
      </c>
      <c r="G63" s="6">
        <v>60.3</v>
      </c>
      <c r="H63" s="28">
        <f>E63*1.304</f>
        <v>62.20080000000001</v>
      </c>
      <c r="I63" s="29">
        <f>-((G63-H63)/G63)</f>
        <v>0.03152238805970167</v>
      </c>
      <c r="J63" s="150">
        <f>H63-G63</f>
        <v>1.900800000000011</v>
      </c>
      <c r="K63" s="28">
        <f>((F63/D63)^2)*E63</f>
        <v>64.92500000000001</v>
      </c>
      <c r="L63" s="29">
        <f>-((G63-K63)/G63)</f>
        <v>0.07669983416252096</v>
      </c>
      <c r="M63" s="150">
        <f>K63-G63</f>
        <v>4.625000000000014</v>
      </c>
    </row>
    <row r="64" spans="1:13" ht="12.75">
      <c r="A64" t="s">
        <v>533</v>
      </c>
      <c r="B64" s="6">
        <v>666</v>
      </c>
      <c r="C64" t="s">
        <v>534</v>
      </c>
      <c r="D64" s="6">
        <v>25.9</v>
      </c>
      <c r="E64" s="6">
        <v>60.3</v>
      </c>
      <c r="F64" s="6">
        <v>29.6</v>
      </c>
      <c r="G64" s="6">
        <v>73.8</v>
      </c>
      <c r="H64" s="28">
        <f>E64*1.26</f>
        <v>75.978</v>
      </c>
      <c r="I64" s="29">
        <f>-((G64-H64)/G64)</f>
        <v>0.029512195121951183</v>
      </c>
      <c r="J64" s="150">
        <f>H64-G64</f>
        <v>2.1779999999999973</v>
      </c>
      <c r="K64" s="28">
        <f>((F64/D64)^2)*E64</f>
        <v>78.75918367346941</v>
      </c>
      <c r="L64" s="29">
        <f>-((G64-K64)/G64)</f>
        <v>0.06719761075161804</v>
      </c>
      <c r="M64" s="150">
        <f>K64-G64</f>
        <v>4.959183673469411</v>
      </c>
    </row>
    <row r="65" spans="1:13" ht="12.75">
      <c r="A65" t="s">
        <v>533</v>
      </c>
      <c r="B65" s="6">
        <v>666</v>
      </c>
      <c r="C65" t="s">
        <v>534</v>
      </c>
      <c r="D65" s="6">
        <v>22.2</v>
      </c>
      <c r="E65" s="6">
        <v>47.7</v>
      </c>
      <c r="F65" s="6">
        <v>29.6</v>
      </c>
      <c r="G65" s="6">
        <v>73.8</v>
      </c>
      <c r="H65" s="28">
        <f>E65*1.645</f>
        <v>78.46650000000001</v>
      </c>
      <c r="I65" s="29">
        <f>-((G65-H65)/G65)</f>
        <v>0.06323170731707335</v>
      </c>
      <c r="J65" s="150">
        <f>H65-G65</f>
        <v>4.666500000000013</v>
      </c>
      <c r="K65" s="28">
        <f>((F65/D65)^2)*E65</f>
        <v>84.80000000000003</v>
      </c>
      <c r="L65" s="29">
        <f>-((G65-K65)/G65)</f>
        <v>0.14905149051490554</v>
      </c>
      <c r="M65" s="150">
        <f>K65-G65</f>
        <v>11.000000000000028</v>
      </c>
    </row>
    <row r="66" spans="2:13" ht="12.75">
      <c r="B66" s="6"/>
      <c r="D66" s="6"/>
      <c r="E66" s="6"/>
      <c r="F66" s="6"/>
      <c r="G66" s="6"/>
      <c r="H66" s="28"/>
      <c r="I66" s="29"/>
      <c r="J66" s="150"/>
      <c r="K66" s="28"/>
      <c r="L66" s="29"/>
      <c r="M66" s="150"/>
    </row>
    <row r="67" spans="1:13" ht="12.75">
      <c r="A67" t="s">
        <v>535</v>
      </c>
      <c r="B67" s="6"/>
      <c r="D67" s="6"/>
      <c r="E67" s="6"/>
      <c r="F67" s="6"/>
      <c r="G67" s="6"/>
      <c r="H67" s="28"/>
      <c r="I67" s="29"/>
      <c r="J67" s="150"/>
      <c r="K67" s="28"/>
      <c r="L67" s="29"/>
      <c r="M67" s="150"/>
    </row>
    <row r="68" spans="1:13" ht="12.75">
      <c r="A68" t="s">
        <v>0</v>
      </c>
      <c r="B68" s="6" t="s">
        <v>481</v>
      </c>
      <c r="C68" t="s">
        <v>1</v>
      </c>
      <c r="D68" s="6" t="s">
        <v>482</v>
      </c>
      <c r="E68" s="6" t="s">
        <v>483</v>
      </c>
      <c r="F68" s="6" t="s">
        <v>484</v>
      </c>
      <c r="G68" s="6" t="s">
        <v>485</v>
      </c>
      <c r="H68" s="6" t="s">
        <v>486</v>
      </c>
      <c r="I68" s="6" t="s">
        <v>487</v>
      </c>
      <c r="J68" s="6" t="s">
        <v>488</v>
      </c>
      <c r="K68" s="6" t="s">
        <v>489</v>
      </c>
      <c r="L68" s="6" t="s">
        <v>490</v>
      </c>
      <c r="M68" s="6" t="s">
        <v>488</v>
      </c>
    </row>
    <row r="69" spans="1:13" ht="12.75">
      <c r="A69" t="s">
        <v>536</v>
      </c>
      <c r="B69" s="6">
        <v>119</v>
      </c>
      <c r="C69" t="s">
        <v>537</v>
      </c>
      <c r="D69" s="6">
        <v>11.1</v>
      </c>
      <c r="E69" s="6">
        <v>22.5</v>
      </c>
      <c r="F69" s="6">
        <v>14.8</v>
      </c>
      <c r="G69" s="6">
        <v>35</v>
      </c>
      <c r="H69" s="28">
        <f>E69*1.594</f>
        <v>35.864999999999995</v>
      </c>
      <c r="I69" s="29">
        <f>-((G69-H69)/G69)</f>
        <v>0.024714285714285567</v>
      </c>
      <c r="J69" s="150">
        <f>H69-G69</f>
        <v>0.8649999999999949</v>
      </c>
      <c r="K69" s="28">
        <f>((F69/D69)^2)*E69</f>
        <v>40.00000000000001</v>
      </c>
      <c r="L69" s="29">
        <f>-((G69-K69)/G69)</f>
        <v>0.14285714285714307</v>
      </c>
      <c r="M69" s="150">
        <f>K69-G69</f>
        <v>5.000000000000007</v>
      </c>
    </row>
    <row r="70" spans="1:13" ht="12.75">
      <c r="A70" t="s">
        <v>538</v>
      </c>
      <c r="B70" s="6">
        <v>145</v>
      </c>
      <c r="C70" t="s">
        <v>539</v>
      </c>
      <c r="D70" s="6">
        <v>11.1</v>
      </c>
      <c r="E70" s="6">
        <v>28.7</v>
      </c>
      <c r="F70" s="6">
        <v>14.8</v>
      </c>
      <c r="G70" s="6">
        <v>44.9</v>
      </c>
      <c r="H70" s="28">
        <f>E70*1.594</f>
        <v>45.7478</v>
      </c>
      <c r="I70" s="29">
        <f>-((G70-H70)/G70)</f>
        <v>0.01888195991091313</v>
      </c>
      <c r="J70" s="150">
        <f>H70-G70</f>
        <v>0.8477999999999994</v>
      </c>
      <c r="K70" s="28">
        <f>((F70/D70)^2)*E70</f>
        <v>51.02222222222223</v>
      </c>
      <c r="L70" s="29">
        <f>-((G70-K70)/G70)</f>
        <v>0.13635238802276692</v>
      </c>
      <c r="M70" s="150">
        <f>K70-G70</f>
        <v>6.122222222222234</v>
      </c>
    </row>
    <row r="71" spans="2:13" ht="12.75">
      <c r="B71" s="6"/>
      <c r="D71" s="6"/>
      <c r="E71" s="6"/>
      <c r="F71" s="6"/>
      <c r="G71" s="6"/>
      <c r="H71" s="28"/>
      <c r="I71" s="29"/>
      <c r="J71" s="150"/>
      <c r="K71" s="28"/>
      <c r="L71" s="29"/>
      <c r="M71" s="150"/>
    </row>
    <row r="72" spans="1:13" ht="12.75">
      <c r="A72" t="s">
        <v>540</v>
      </c>
      <c r="B72" s="6"/>
      <c r="D72" s="6" t="s">
        <v>541</v>
      </c>
      <c r="E72" s="6"/>
      <c r="F72" s="6" t="s">
        <v>542</v>
      </c>
      <c r="G72" s="6"/>
      <c r="H72" s="28"/>
      <c r="I72" s="29"/>
      <c r="J72" s="150"/>
      <c r="K72" s="28"/>
      <c r="L72" s="29"/>
      <c r="M72" s="150"/>
    </row>
    <row r="73" spans="1:13" ht="12.75">
      <c r="A73" t="s">
        <v>538</v>
      </c>
      <c r="B73" s="6">
        <v>145</v>
      </c>
      <c r="C73" t="s">
        <v>539</v>
      </c>
      <c r="D73" s="6">
        <v>10.71</v>
      </c>
      <c r="E73" s="6">
        <v>27.1</v>
      </c>
      <c r="F73" s="6">
        <v>14.24</v>
      </c>
      <c r="G73" s="6">
        <v>42.3</v>
      </c>
      <c r="H73" s="28">
        <f>E73*1.594</f>
        <v>43.1974</v>
      </c>
      <c r="I73" s="29">
        <f>-((G73-H73)/G73)</f>
        <v>0.021215130023640772</v>
      </c>
      <c r="J73" s="150">
        <f>H73-G73</f>
        <v>0.8974000000000046</v>
      </c>
      <c r="K73" s="28">
        <f>((F73/D73)^2)*E73</f>
        <v>47.90825227694564</v>
      </c>
      <c r="L73" s="29">
        <f>-((G73-K73)/G73)</f>
        <v>0.13258279614528704</v>
      </c>
      <c r="M73" s="150">
        <f>K73-G73</f>
        <v>5.608252276945642</v>
      </c>
    </row>
    <row r="74" spans="2:13" ht="12.75">
      <c r="B74" s="6"/>
      <c r="D74" s="6" t="s">
        <v>543</v>
      </c>
      <c r="E74" s="6"/>
      <c r="F74" s="6" t="s">
        <v>541</v>
      </c>
      <c r="G74" s="6"/>
      <c r="H74" s="28"/>
      <c r="I74" s="29"/>
      <c r="J74" s="150"/>
      <c r="K74" s="28"/>
      <c r="L74" s="29"/>
      <c r="M74" s="150"/>
    </row>
    <row r="75" spans="1:13" ht="12.75">
      <c r="A75" t="s">
        <v>536</v>
      </c>
      <c r="B75" s="6">
        <v>119</v>
      </c>
      <c r="C75" t="s">
        <v>537</v>
      </c>
      <c r="D75" s="6">
        <v>10.65</v>
      </c>
      <c r="E75" s="6">
        <v>21.5</v>
      </c>
      <c r="F75" s="6">
        <v>14.17</v>
      </c>
      <c r="G75" s="6">
        <v>32.8</v>
      </c>
      <c r="H75" s="28">
        <f>E75*1.594</f>
        <v>34.270999999999994</v>
      </c>
      <c r="I75" s="29">
        <f>-((G75-H75)/G75)</f>
        <v>0.04484756097560966</v>
      </c>
      <c r="J75" s="150">
        <f>H75-G75</f>
        <v>1.4709999999999965</v>
      </c>
      <c r="K75" s="28">
        <f>((F75/D75)^2)*E75</f>
        <v>38.060890475875595</v>
      </c>
      <c r="L75" s="29">
        <f>-((G75-K75)/G75)</f>
        <v>0.16039300231328046</v>
      </c>
      <c r="M75" s="150">
        <f>K75-G75</f>
        <v>5.260890475875598</v>
      </c>
    </row>
    <row r="76" spans="1:13" ht="12.75">
      <c r="A76" s="88" t="s">
        <v>544</v>
      </c>
      <c r="B76" s="6"/>
      <c r="D76" s="6"/>
      <c r="E76" s="6"/>
      <c r="F76" s="6"/>
      <c r="G76" s="6"/>
      <c r="H76" s="28"/>
      <c r="I76" s="29"/>
      <c r="J76" s="150"/>
      <c r="K76" s="28"/>
      <c r="L76" s="29"/>
      <c r="M76" s="150"/>
    </row>
    <row r="77" spans="2:13" ht="12.75">
      <c r="B77" s="6"/>
      <c r="D77" s="6"/>
      <c r="E77" s="6"/>
      <c r="F77" s="6"/>
      <c r="G77" s="6"/>
      <c r="H77" s="28"/>
      <c r="I77" s="29"/>
      <c r="J77" s="150"/>
      <c r="K77" s="28"/>
      <c r="L77" s="29"/>
      <c r="M77" s="150"/>
    </row>
    <row r="78" spans="1:13" ht="12.75">
      <c r="A78" t="s">
        <v>545</v>
      </c>
      <c r="B78" s="6"/>
      <c r="D78" s="6"/>
      <c r="E78" s="6"/>
      <c r="F78" s="6"/>
      <c r="G78" s="6"/>
      <c r="H78" s="28"/>
      <c r="I78" s="29"/>
      <c r="J78" s="150"/>
      <c r="K78" s="28"/>
      <c r="L78" s="29"/>
      <c r="M78" s="150"/>
    </row>
    <row r="79" spans="1:13" ht="12.75">
      <c r="A79" t="s">
        <v>0</v>
      </c>
      <c r="B79" s="6" t="s">
        <v>481</v>
      </c>
      <c r="C79" t="s">
        <v>1</v>
      </c>
      <c r="D79" s="6" t="s">
        <v>482</v>
      </c>
      <c r="E79" s="6" t="s">
        <v>483</v>
      </c>
      <c r="F79" s="6" t="s">
        <v>484</v>
      </c>
      <c r="G79" s="6" t="s">
        <v>485</v>
      </c>
      <c r="H79" s="6" t="s">
        <v>486</v>
      </c>
      <c r="I79" s="6" t="s">
        <v>487</v>
      </c>
      <c r="J79" s="6" t="s">
        <v>488</v>
      </c>
      <c r="K79" s="6" t="s">
        <v>489</v>
      </c>
      <c r="L79" s="6" t="s">
        <v>490</v>
      </c>
      <c r="M79" s="6" t="s">
        <v>488</v>
      </c>
    </row>
    <row r="80" spans="1:13" ht="12.75">
      <c r="A80" t="s">
        <v>536</v>
      </c>
      <c r="B80" s="6">
        <v>119</v>
      </c>
      <c r="C80" t="s">
        <v>537</v>
      </c>
      <c r="D80" s="6">
        <v>11.74</v>
      </c>
      <c r="E80" s="6">
        <v>24.6</v>
      </c>
      <c r="F80" s="6">
        <v>15.65</v>
      </c>
      <c r="G80" s="6">
        <v>37.9</v>
      </c>
      <c r="H80" s="28">
        <f>E80*1.594</f>
        <v>39.2124</v>
      </c>
      <c r="I80" s="29">
        <f>-((G80-H80)/G80)</f>
        <v>0.03462796833773097</v>
      </c>
      <c r="J80" s="150">
        <f>H80-G80</f>
        <v>1.3124000000000038</v>
      </c>
      <c r="K80" s="28">
        <f>((F80/D80)^2)*E80</f>
        <v>43.71470953568082</v>
      </c>
      <c r="L80" s="29">
        <f>-((G80-K80)/G80)</f>
        <v>0.15342241518946753</v>
      </c>
      <c r="M80" s="150">
        <f>K80-G80</f>
        <v>5.814709535680819</v>
      </c>
    </row>
    <row r="82" ht="12.75">
      <c r="B82" s="6" t="s">
        <v>464</v>
      </c>
    </row>
    <row r="83" spans="1:2" ht="12.75">
      <c r="A83" s="6" t="s">
        <v>431</v>
      </c>
      <c r="B83" s="148">
        <f>(3/2)^1.41</f>
        <v>1.7712859397529</v>
      </c>
    </row>
    <row r="84" spans="1:2" ht="12.75">
      <c r="A84" s="6" t="s">
        <v>432</v>
      </c>
      <c r="B84" s="148">
        <f>(4/3)^1.62</f>
        <v>1.5936786453414888</v>
      </c>
    </row>
    <row r="85" spans="1:2" ht="12.75">
      <c r="A85" s="6" t="s">
        <v>436</v>
      </c>
      <c r="B85" s="148">
        <f>(5/4)^1.7</f>
        <v>1.4613256997228459</v>
      </c>
    </row>
    <row r="86" spans="1:2" ht="12.75">
      <c r="A86" s="6" t="s">
        <v>437</v>
      </c>
      <c r="B86" s="148">
        <f>(6/5)^1.7</f>
        <v>1.3633523726386665</v>
      </c>
    </row>
    <row r="87" spans="1:2" ht="12.75">
      <c r="A87" s="6" t="s">
        <v>439</v>
      </c>
      <c r="B87" s="148">
        <f>(7/6)^1.7</f>
        <v>1.2995995203093216</v>
      </c>
    </row>
    <row r="88" spans="1:2" ht="12.75">
      <c r="A88" s="6" t="s">
        <v>466</v>
      </c>
      <c r="B88" s="148">
        <f>(8/7)^1.7</f>
        <v>1.2548340935388997</v>
      </c>
    </row>
    <row r="89" spans="1:2" ht="12.75">
      <c r="A89" s="6" t="s">
        <v>467</v>
      </c>
      <c r="B89" s="148">
        <f>(9/8)^1.7</f>
        <v>1.2216851310094328</v>
      </c>
    </row>
    <row r="90" spans="1:2" ht="12.75">
      <c r="A90" s="6" t="s">
        <v>468</v>
      </c>
      <c r="B90" s="148">
        <f>(10/9)^1.7</f>
        <v>1.1961557545645227</v>
      </c>
    </row>
    <row r="91" spans="1:2" ht="12.75">
      <c r="A91" s="6"/>
      <c r="B91" s="148"/>
    </row>
    <row r="92" spans="1:2" ht="12.75">
      <c r="A92" s="6" t="s">
        <v>438</v>
      </c>
      <c r="B92" s="148">
        <f>(8/6)^1.73</f>
        <v>1.6449170959385375</v>
      </c>
    </row>
    <row r="93" spans="1:2" ht="12.75">
      <c r="A93" s="6" t="s">
        <v>440</v>
      </c>
      <c r="B93" s="148">
        <f>(10/8)^1.73</f>
        <v>1.4711410788337234</v>
      </c>
    </row>
    <row r="95" ht="12.75">
      <c r="K95" t="s">
        <v>546</v>
      </c>
    </row>
    <row r="96" spans="1:12" ht="12.75">
      <c r="A96" t="s">
        <v>0</v>
      </c>
      <c r="B96" s="6" t="s">
        <v>481</v>
      </c>
      <c r="C96" t="s">
        <v>1</v>
      </c>
      <c r="D96" s="6" t="s">
        <v>482</v>
      </c>
      <c r="E96" s="6" t="s">
        <v>483</v>
      </c>
      <c r="F96" s="6" t="s">
        <v>547</v>
      </c>
      <c r="G96" t="s">
        <v>548</v>
      </c>
      <c r="H96" t="s">
        <v>549</v>
      </c>
      <c r="I96" s="6" t="s">
        <v>484</v>
      </c>
      <c r="J96" s="6" t="s">
        <v>485</v>
      </c>
      <c r="K96" s="6" t="s">
        <v>550</v>
      </c>
      <c r="L96" s="6" t="s">
        <v>5</v>
      </c>
    </row>
    <row r="97" spans="1:12" ht="12.75">
      <c r="A97" t="s">
        <v>491</v>
      </c>
      <c r="B97" s="6">
        <v>33</v>
      </c>
      <c r="C97" t="s">
        <v>492</v>
      </c>
      <c r="D97" s="6">
        <v>7.4</v>
      </c>
      <c r="E97" s="6">
        <v>5.1</v>
      </c>
      <c r="F97" s="6">
        <v>0.4</v>
      </c>
      <c r="G97" s="6">
        <v>7350</v>
      </c>
      <c r="H97" s="6">
        <v>10314</v>
      </c>
      <c r="I97" s="6">
        <v>11.1</v>
      </c>
      <c r="J97" s="6">
        <v>9.2</v>
      </c>
      <c r="K97" s="28">
        <f>(H97/G97)^2*(E97-F97)+F97</f>
        <v>9.65502154102457</v>
      </c>
      <c r="L97" s="29">
        <f>-(J97-K97)/J97</f>
        <v>0.049458863154844705</v>
      </c>
    </row>
    <row r="98" spans="1:12" ht="12.75">
      <c r="A98" t="s">
        <v>517</v>
      </c>
      <c r="B98" s="6">
        <v>261</v>
      </c>
      <c r="C98" t="s">
        <v>518</v>
      </c>
      <c r="D98" s="6">
        <v>18.5</v>
      </c>
      <c r="E98" s="6">
        <v>35.9</v>
      </c>
      <c r="F98" s="6">
        <v>1.88</v>
      </c>
      <c r="G98" s="6">
        <v>9755</v>
      </c>
      <c r="H98" s="6">
        <v>11321</v>
      </c>
      <c r="I98" s="6">
        <v>22.2</v>
      </c>
      <c r="J98" s="6">
        <v>48.2</v>
      </c>
      <c r="K98" s="28">
        <f>(H98/G98)^2*(E98-F98)+F98</f>
        <v>47.69939417123944</v>
      </c>
      <c r="L98" s="29">
        <f>-(J98-K98)/J98</f>
        <v>-0.010386013044824949</v>
      </c>
    </row>
    <row r="99" spans="1:12" ht="12.75">
      <c r="A99" t="s">
        <v>521</v>
      </c>
      <c r="B99" s="6">
        <v>205</v>
      </c>
      <c r="C99" t="s">
        <v>522</v>
      </c>
      <c r="D99" s="6">
        <v>14.8</v>
      </c>
      <c r="E99" s="6">
        <v>42.6</v>
      </c>
      <c r="F99" s="6">
        <v>1.7000000000000002</v>
      </c>
      <c r="G99" s="6">
        <v>9435</v>
      </c>
      <c r="H99" s="6">
        <v>11225</v>
      </c>
      <c r="I99" s="6">
        <v>18.5</v>
      </c>
      <c r="J99" s="6">
        <v>60</v>
      </c>
      <c r="K99" s="28">
        <f>(H99/G99)^2*(E99-F99)+F99</f>
        <v>59.5911528661365</v>
      </c>
      <c r="L99" s="29">
        <f>-(J99-K99)/J99</f>
        <v>-0.006814118897725052</v>
      </c>
    </row>
    <row r="100" spans="1:12" ht="12.75">
      <c r="A100" t="s">
        <v>521</v>
      </c>
      <c r="B100" s="6">
        <v>205</v>
      </c>
      <c r="C100" t="s">
        <v>522</v>
      </c>
      <c r="D100" s="6">
        <v>11.1</v>
      </c>
      <c r="E100" s="6">
        <v>26.8</v>
      </c>
      <c r="F100" s="6">
        <v>1.7000000000000002</v>
      </c>
      <c r="G100" s="6">
        <v>7440</v>
      </c>
      <c r="H100" s="6">
        <v>9435</v>
      </c>
      <c r="I100" s="6">
        <v>14.8</v>
      </c>
      <c r="J100" s="6">
        <v>42.5</v>
      </c>
      <c r="K100" s="28">
        <f>(H100/G100)^2*(E100-F100)+F100</f>
        <v>42.065622967611866</v>
      </c>
      <c r="L100" s="29">
        <f>-(J100-K100)/J100</f>
        <v>-0.010220636056191399</v>
      </c>
    </row>
    <row r="101" spans="1:12" ht="12.75">
      <c r="A101" t="s">
        <v>499</v>
      </c>
      <c r="B101" s="6">
        <v>72</v>
      </c>
      <c r="C101" t="s">
        <v>500</v>
      </c>
      <c r="D101" s="6">
        <v>11.1</v>
      </c>
      <c r="E101" s="6">
        <v>18.9</v>
      </c>
      <c r="F101" s="6">
        <v>0.89</v>
      </c>
      <c r="G101" s="6">
        <v>8624</v>
      </c>
      <c r="H101" s="6">
        <v>10645</v>
      </c>
      <c r="I101" s="6">
        <v>14.8</v>
      </c>
      <c r="J101" s="6">
        <v>28.4</v>
      </c>
      <c r="K101" s="28">
        <f>(H101/G101)^2*(E101-F101)+F101</f>
        <v>28.3302174542944</v>
      </c>
      <c r="L101" s="29">
        <f>-(J101-K101)/J101</f>
        <v>-0.002457131891042248</v>
      </c>
    </row>
    <row r="102" spans="1:12" ht="12.75">
      <c r="A102" t="s">
        <v>525</v>
      </c>
      <c r="B102" s="6">
        <v>104</v>
      </c>
      <c r="C102" t="s">
        <v>526</v>
      </c>
      <c r="D102" s="6">
        <v>7.4</v>
      </c>
      <c r="E102" s="6">
        <v>15</v>
      </c>
      <c r="F102" s="6">
        <v>0.95</v>
      </c>
      <c r="G102" s="6">
        <v>6048</v>
      </c>
      <c r="H102" s="6">
        <v>8327</v>
      </c>
      <c r="I102" s="6">
        <v>14.8</v>
      </c>
      <c r="J102" s="6">
        <v>28.1</v>
      </c>
      <c r="K102" s="28">
        <f>(H102/G102)^2*(E102-F102)+F102</f>
        <v>27.583600957824615</v>
      </c>
      <c r="L102" s="29">
        <f>-(J102-K102)/J102</f>
        <v>-0.01837719011300308</v>
      </c>
    </row>
    <row r="103" spans="1:12" ht="12.75">
      <c r="A103" t="s">
        <v>525</v>
      </c>
      <c r="B103" s="6">
        <v>104</v>
      </c>
      <c r="C103" t="s">
        <v>526</v>
      </c>
      <c r="D103" s="6">
        <v>11.1</v>
      </c>
      <c r="E103" s="6">
        <v>28.1</v>
      </c>
      <c r="F103" s="6">
        <v>0.95</v>
      </c>
      <c r="G103" s="6">
        <v>8327</v>
      </c>
      <c r="H103" s="6">
        <v>10315</v>
      </c>
      <c r="I103" s="6">
        <v>14.8</v>
      </c>
      <c r="J103" s="6">
        <v>42.8</v>
      </c>
      <c r="K103" s="28">
        <f>(H103/G103)^2*(E103-F103)+F103</f>
        <v>42.61114187817929</v>
      </c>
      <c r="L103" s="29">
        <f>-(J103-K103)/J103</f>
        <v>-0.004412572939736167</v>
      </c>
    </row>
    <row r="104" spans="1:12" ht="12.75">
      <c r="A104" t="s">
        <v>528</v>
      </c>
      <c r="B104" s="6">
        <v>152</v>
      </c>
      <c r="C104" t="s">
        <v>526</v>
      </c>
      <c r="D104" s="6">
        <v>7.4</v>
      </c>
      <c r="E104" s="6">
        <v>11</v>
      </c>
      <c r="F104" s="6">
        <v>1.15</v>
      </c>
      <c r="G104" s="6">
        <v>4963</v>
      </c>
      <c r="H104" s="6">
        <v>7015</v>
      </c>
      <c r="I104" s="6">
        <v>11.1</v>
      </c>
      <c r="J104" s="6">
        <v>21.8</v>
      </c>
      <c r="K104" s="28">
        <f>(H104/G104)^2*(E104-F104)+F104</f>
        <v>20.829000231371626</v>
      </c>
      <c r="L104" s="29">
        <f>-(J104-K104)/J104</f>
        <v>-0.04454127379029239</v>
      </c>
    </row>
    <row r="105" spans="1:12" ht="12.75">
      <c r="A105" t="s">
        <v>528</v>
      </c>
      <c r="B105" s="6">
        <v>152</v>
      </c>
      <c r="C105" t="s">
        <v>526</v>
      </c>
      <c r="D105" s="6">
        <v>11.1</v>
      </c>
      <c r="E105" s="6">
        <v>21.5</v>
      </c>
      <c r="F105" s="6">
        <v>1.15</v>
      </c>
      <c r="G105" s="6">
        <v>7015</v>
      </c>
      <c r="H105" s="6">
        <v>8820</v>
      </c>
      <c r="I105" s="6">
        <v>14.8</v>
      </c>
      <c r="J105" s="6">
        <v>34.5</v>
      </c>
      <c r="K105" s="28">
        <f>(H105/G105)^2*(E105-F105)+F105</f>
        <v>33.31964238631301</v>
      </c>
      <c r="L105" s="29">
        <f>-(J105-K105)/J105</f>
        <v>-0.03421326416484039</v>
      </c>
    </row>
    <row r="106" spans="1:12" ht="12.75">
      <c r="A106" t="s">
        <v>528</v>
      </c>
      <c r="B106" s="6">
        <v>152</v>
      </c>
      <c r="C106" t="s">
        <v>526</v>
      </c>
      <c r="D106" s="6">
        <v>14.8</v>
      </c>
      <c r="E106" s="6">
        <v>34.5</v>
      </c>
      <c r="F106" s="6">
        <v>1.15</v>
      </c>
      <c r="G106" s="6">
        <v>8820</v>
      </c>
      <c r="H106" s="6">
        <v>10427</v>
      </c>
      <c r="I106" s="6">
        <v>18.5</v>
      </c>
      <c r="J106" s="6">
        <v>48.4</v>
      </c>
      <c r="K106" s="28">
        <f>(H106/G106)^2*(E106-F106)+F106</f>
        <v>47.759818853127044</v>
      </c>
      <c r="L106" s="29">
        <f>-(J106-K106)/J106</f>
        <v>-0.013226883199854439</v>
      </c>
    </row>
    <row r="107" spans="1:12" ht="12.75">
      <c r="A107" t="s">
        <v>530</v>
      </c>
      <c r="B107" s="6">
        <v>20</v>
      </c>
      <c r="C107" t="s">
        <v>531</v>
      </c>
      <c r="D107" s="6">
        <v>7.4</v>
      </c>
      <c r="E107" s="6">
        <v>5.5</v>
      </c>
      <c r="F107" s="6">
        <v>0.48</v>
      </c>
      <c r="G107" s="6">
        <v>11981</v>
      </c>
      <c r="H107" s="6">
        <v>16002</v>
      </c>
      <c r="I107" s="6">
        <v>11.1</v>
      </c>
      <c r="J107" s="6">
        <v>9.6</v>
      </c>
      <c r="K107" s="28">
        <f>(H107/G107)^2*(E107-F107)+F107</f>
        <v>9.435010779420306</v>
      </c>
      <c r="L107" s="29">
        <f>-(J107-K107)/J107</f>
        <v>-0.017186377143718068</v>
      </c>
    </row>
    <row r="108" spans="1:12" ht="12.75">
      <c r="A108" t="s">
        <v>533</v>
      </c>
      <c r="B108" s="6">
        <v>666</v>
      </c>
      <c r="C108" t="s">
        <v>534</v>
      </c>
      <c r="D108" s="6">
        <v>14.8</v>
      </c>
      <c r="E108" s="6">
        <v>25.5</v>
      </c>
      <c r="F108" s="6">
        <v>2.72</v>
      </c>
      <c r="G108" s="6">
        <v>2693</v>
      </c>
      <c r="H108" s="6">
        <v>3294</v>
      </c>
      <c r="I108" s="6">
        <v>18.5</v>
      </c>
      <c r="J108" s="6">
        <v>36</v>
      </c>
      <c r="K108" s="28">
        <f>(H108/G108)^2*(E108-F108)+F108</f>
        <v>36.80224567027415</v>
      </c>
      <c r="L108" s="29">
        <f>-(J108-K108)/J108</f>
        <v>0.022284601952059627</v>
      </c>
    </row>
    <row r="109" spans="1:12" ht="12.75">
      <c r="A109" t="s">
        <v>533</v>
      </c>
      <c r="B109" s="6">
        <v>666</v>
      </c>
      <c r="C109" t="s">
        <v>534</v>
      </c>
      <c r="D109" s="6">
        <v>18.5</v>
      </c>
      <c r="E109" s="6">
        <v>36</v>
      </c>
      <c r="F109" s="6">
        <v>2.72</v>
      </c>
      <c r="G109" s="6">
        <v>3294</v>
      </c>
      <c r="H109" s="6">
        <v>3875</v>
      </c>
      <c r="I109" s="6">
        <v>22.2</v>
      </c>
      <c r="J109" s="6">
        <v>47.7</v>
      </c>
      <c r="K109" s="28">
        <f>(H109/G109)^2*(E109-F109)+F109</f>
        <v>48.77529215600184</v>
      </c>
      <c r="L109" s="29">
        <f>-(J109-K109)/J109</f>
        <v>0.02254281249479741</v>
      </c>
    </row>
    <row r="110" spans="1:12" ht="12.75">
      <c r="A110" t="s">
        <v>533</v>
      </c>
      <c r="B110" s="6">
        <v>666</v>
      </c>
      <c r="C110" t="s">
        <v>534</v>
      </c>
      <c r="D110" s="6">
        <v>22.2</v>
      </c>
      <c r="E110" s="6">
        <v>47.7</v>
      </c>
      <c r="F110" s="6">
        <v>2.72</v>
      </c>
      <c r="G110" s="6">
        <v>3875</v>
      </c>
      <c r="H110" s="6">
        <v>4438</v>
      </c>
      <c r="I110" s="6">
        <v>25.9</v>
      </c>
      <c r="J110" s="6">
        <v>60.3</v>
      </c>
      <c r="K110" s="28">
        <f>(H110/G110)^2*(E110-F110)+F110</f>
        <v>61.71981273639959</v>
      </c>
      <c r="L110" s="29">
        <f>-(J110-K110)/J110</f>
        <v>0.023545816524039673</v>
      </c>
    </row>
    <row r="111" spans="1:12" ht="12.75">
      <c r="A111" t="s">
        <v>533</v>
      </c>
      <c r="B111" s="6">
        <v>666</v>
      </c>
      <c r="C111" t="s">
        <v>534</v>
      </c>
      <c r="D111" s="6">
        <v>25.9</v>
      </c>
      <c r="E111" s="6">
        <v>60.3</v>
      </c>
      <c r="F111" s="6">
        <v>2.72</v>
      </c>
      <c r="G111" s="6">
        <v>4438</v>
      </c>
      <c r="H111" s="6">
        <v>4986</v>
      </c>
      <c r="I111" s="6">
        <v>29.6</v>
      </c>
      <c r="J111" s="6">
        <v>73.8</v>
      </c>
      <c r="K111" s="28">
        <f>(H111/G111)^2*(E111-F111)+F111</f>
        <v>75.3977733251746</v>
      </c>
      <c r="L111" s="29">
        <f>-(J111-K111)/J111</f>
        <v>0.0216500450565664</v>
      </c>
    </row>
    <row r="112" spans="1:12" ht="12.75">
      <c r="A112" t="s">
        <v>533</v>
      </c>
      <c r="B112" s="6">
        <v>666</v>
      </c>
      <c r="C112" t="s">
        <v>534</v>
      </c>
      <c r="D112" s="6">
        <v>22.2</v>
      </c>
      <c r="E112" s="6">
        <v>47.7</v>
      </c>
      <c r="F112" s="6">
        <v>2.72</v>
      </c>
      <c r="G112" s="6">
        <v>3875</v>
      </c>
      <c r="H112" s="6">
        <v>4986</v>
      </c>
      <c r="I112" s="6">
        <v>29.6</v>
      </c>
      <c r="J112" s="6">
        <v>73.8</v>
      </c>
      <c r="K112" s="28">
        <f>(H112/G112)^2*(E112-F112)+F112</f>
        <v>77.18986829252863</v>
      </c>
      <c r="L112" s="29">
        <f>-(J112-K112)/J112</f>
        <v>0.04593317469550993</v>
      </c>
    </row>
    <row r="113" spans="1:12" ht="12.75">
      <c r="A113" t="s">
        <v>536</v>
      </c>
      <c r="B113" s="6">
        <v>119</v>
      </c>
      <c r="C113" t="s">
        <v>537</v>
      </c>
      <c r="D113" s="6">
        <v>11.1</v>
      </c>
      <c r="E113" s="6">
        <v>22.5</v>
      </c>
      <c r="F113" s="6">
        <v>1.56</v>
      </c>
      <c r="G113" s="6">
        <v>7548</v>
      </c>
      <c r="H113" s="6">
        <v>9280</v>
      </c>
      <c r="I113" s="6">
        <v>14.8</v>
      </c>
      <c r="J113" s="6">
        <v>35</v>
      </c>
      <c r="K113" s="28">
        <f>(H113/G113)^2*(E113-F113)+F113</f>
        <v>33.212560444106316</v>
      </c>
      <c r="L113" s="29">
        <f>-(J113-K113)/J113</f>
        <v>-0.0510697015969624</v>
      </c>
    </row>
    <row r="114" spans="1:12" ht="12.75">
      <c r="A114" t="s">
        <v>538</v>
      </c>
      <c r="B114" s="6">
        <v>145</v>
      </c>
      <c r="C114" t="s">
        <v>539</v>
      </c>
      <c r="D114" s="6">
        <v>11.1</v>
      </c>
      <c r="E114" s="6">
        <v>28.7</v>
      </c>
      <c r="F114" s="6">
        <v>1.3</v>
      </c>
      <c r="G114" s="6">
        <v>5544</v>
      </c>
      <c r="H114" s="6">
        <v>6870</v>
      </c>
      <c r="I114" s="6">
        <v>14.8</v>
      </c>
      <c r="J114" s="6">
        <v>44.9</v>
      </c>
      <c r="K114" s="28">
        <f>(H114/G114)^2*(E114-F114)+F114</f>
        <v>43.374367281347794</v>
      </c>
      <c r="L114" s="29">
        <f>-(J114-K114)/J114</f>
        <v>-0.03397845698557248</v>
      </c>
    </row>
    <row r="119" spans="1:6" ht="12.75">
      <c r="A119" s="154"/>
      <c r="B119" s="155" t="s">
        <v>551</v>
      </c>
      <c r="C119" s="155" t="s">
        <v>552</v>
      </c>
      <c r="D119" s="154"/>
      <c r="E119" s="155" t="s">
        <v>553</v>
      </c>
      <c r="F119" s="155" t="s">
        <v>552</v>
      </c>
    </row>
    <row r="120" spans="1:6" ht="12.75">
      <c r="A120" s="155" t="s">
        <v>450</v>
      </c>
      <c r="B120" s="155" t="s">
        <v>554</v>
      </c>
      <c r="C120" s="155" t="s">
        <v>551</v>
      </c>
      <c r="D120" s="155"/>
      <c r="E120" s="155" t="s">
        <v>554</v>
      </c>
      <c r="F120" s="155" t="s">
        <v>553</v>
      </c>
    </row>
    <row r="121" spans="1:6" ht="12.75">
      <c r="A121" s="6" t="s">
        <v>431</v>
      </c>
      <c r="B121" s="148">
        <f>(3/2)^2</f>
        <v>2.25</v>
      </c>
      <c r="C121" s="29">
        <f>((25*B121)-25)/25</f>
        <v>1.25</v>
      </c>
      <c r="D121" s="155"/>
      <c r="E121" s="148">
        <v>1.7712859397529002</v>
      </c>
      <c r="F121" s="29">
        <f>((25*E121)-25)/25</f>
        <v>0.7712859397529002</v>
      </c>
    </row>
    <row r="122" spans="1:6" ht="12.75">
      <c r="A122" s="155" t="s">
        <v>432</v>
      </c>
      <c r="B122" s="156">
        <f>(4/3)^2</f>
        <v>1.7777777777777777</v>
      </c>
      <c r="C122" s="157">
        <f>((25*B122)-25)/25</f>
        <v>0.7777777777777777</v>
      </c>
      <c r="D122" s="155"/>
      <c r="E122" s="156">
        <v>1.59367864534149</v>
      </c>
      <c r="F122" s="157">
        <f>((25*E122)-25)/25</f>
        <v>0.59367864534149</v>
      </c>
    </row>
    <row r="123" spans="1:6" ht="12.75">
      <c r="A123" s="6" t="s">
        <v>436</v>
      </c>
      <c r="B123" s="148">
        <f>(5/4)^2</f>
        <v>1.5625</v>
      </c>
      <c r="C123" s="29">
        <f>((25*B123)-25)/25</f>
        <v>0.5625</v>
      </c>
      <c r="D123" s="155"/>
      <c r="E123" s="148">
        <v>1.4613256997228499</v>
      </c>
      <c r="F123" s="29">
        <f>((25*E123)-25)/25</f>
        <v>0.4613256997228498</v>
      </c>
    </row>
    <row r="124" spans="1:6" ht="12.75">
      <c r="A124" s="155" t="s">
        <v>437</v>
      </c>
      <c r="B124" s="156">
        <f>(6/5)^2</f>
        <v>1.44</v>
      </c>
      <c r="C124" s="157">
        <f>((25*B124)-25)/25</f>
        <v>0.44</v>
      </c>
      <c r="D124" s="155"/>
      <c r="E124" s="156">
        <v>1.36335237263867</v>
      </c>
      <c r="F124" s="157">
        <f>((25*E124)-25)/25</f>
        <v>0.36335237263867015</v>
      </c>
    </row>
    <row r="125" spans="1:6" ht="12.75">
      <c r="A125" s="6" t="s">
        <v>439</v>
      </c>
      <c r="B125" s="148">
        <f>(7/6)^2</f>
        <v>1.3611111111111114</v>
      </c>
      <c r="C125" s="29">
        <f>((25*B125)-25)/25</f>
        <v>0.36111111111111144</v>
      </c>
      <c r="D125" s="155"/>
      <c r="E125" s="148">
        <v>1.29959952030932</v>
      </c>
      <c r="F125" s="29">
        <f>((25*E125)-25)/25</f>
        <v>0.29959952030932013</v>
      </c>
    </row>
    <row r="126" spans="1:6" ht="12.75">
      <c r="A126" s="155" t="s">
        <v>466</v>
      </c>
      <c r="B126" s="156">
        <f>(8/7)^2</f>
        <v>1.3061224489795917</v>
      </c>
      <c r="C126" s="157">
        <f>((25*B126)-25)/25</f>
        <v>0.30612244897959184</v>
      </c>
      <c r="D126" s="155"/>
      <c r="E126" s="156">
        <v>1.2548340935389</v>
      </c>
      <c r="F126" s="157">
        <f>((25*E126)-25)/25</f>
        <v>0.25483409353889996</v>
      </c>
    </row>
    <row r="127" spans="1:6" ht="12.75">
      <c r="A127" s="6" t="s">
        <v>467</v>
      </c>
      <c r="B127" s="148">
        <f>(9/8)^2</f>
        <v>1.265625</v>
      </c>
      <c r="C127" s="29">
        <f>((25*B127)-25)/25</f>
        <v>0.265625</v>
      </c>
      <c r="D127" s="155"/>
      <c r="E127" s="148">
        <v>1.2216851310094299</v>
      </c>
      <c r="F127" s="29">
        <f>((25*E127)-25)/25</f>
        <v>0.22168513100942988</v>
      </c>
    </row>
    <row r="128" spans="1:6" ht="12.75">
      <c r="A128" s="155" t="s">
        <v>468</v>
      </c>
      <c r="B128" s="156">
        <f>(10/9)^2</f>
        <v>1.234567901234568</v>
      </c>
      <c r="C128" s="157">
        <f>((25*B128)-25)/25</f>
        <v>0.23456790123456814</v>
      </c>
      <c r="D128" s="156"/>
      <c r="E128" s="156">
        <v>1.19615575456452</v>
      </c>
      <c r="F128" s="157">
        <f>((25*E128)-25)/25</f>
        <v>0.19615575456452006</v>
      </c>
    </row>
    <row r="129" ht="12.75">
      <c r="C129" s="148"/>
    </row>
    <row r="130" ht="12.75">
      <c r="C130" s="148"/>
    </row>
    <row r="131" ht="12.75">
      <c r="C131" s="148"/>
    </row>
    <row r="132" ht="12.75">
      <c r="C132" s="148"/>
    </row>
    <row r="133" spans="1:7" ht="12.75">
      <c r="A133" s="158"/>
      <c r="B133" s="158"/>
      <c r="C133" s="148"/>
      <c r="D133" s="158"/>
      <c r="E133" s="158"/>
      <c r="F133" s="158"/>
      <c r="G133" s="158"/>
    </row>
    <row r="134" spans="1:7" ht="12.75">
      <c r="A134" s="158"/>
      <c r="B134" s="158"/>
      <c r="C134" s="158"/>
      <c r="D134" s="158"/>
      <c r="E134" s="158"/>
      <c r="F134" s="158"/>
      <c r="G134" s="158"/>
    </row>
    <row r="135" spans="1:6" ht="12.75">
      <c r="A135" s="158"/>
      <c r="B135" s="158"/>
      <c r="C135" s="158"/>
      <c r="D135" s="158"/>
      <c r="E135" s="148"/>
      <c r="F135" s="148"/>
    </row>
    <row r="136" spans="1:6" ht="12.75">
      <c r="A136" s="158"/>
      <c r="B136" s="158"/>
      <c r="C136" s="158"/>
      <c r="D136" s="158"/>
      <c r="E136" s="148"/>
      <c r="F136" s="148"/>
    </row>
    <row r="137" spans="1:6" ht="12.75">
      <c r="A137" s="158"/>
      <c r="B137" s="158"/>
      <c r="C137" s="158"/>
      <c r="D137" s="158"/>
      <c r="E137" s="148"/>
      <c r="F137" s="148"/>
    </row>
    <row r="138" spans="1:6" ht="12.75">
      <c r="A138" s="158"/>
      <c r="B138" s="158"/>
      <c r="C138" s="158"/>
      <c r="D138" s="158"/>
      <c r="E138" s="148"/>
      <c r="F138" s="148"/>
    </row>
    <row r="139" spans="1:6" ht="12.75">
      <c r="A139" s="158"/>
      <c r="B139" s="158"/>
      <c r="C139" s="158"/>
      <c r="D139" s="158"/>
      <c r="E139" s="148"/>
      <c r="F139" s="148"/>
    </row>
    <row r="140" spans="1:6" ht="12.75">
      <c r="A140" s="158"/>
      <c r="B140" s="158"/>
      <c r="C140" s="158"/>
      <c r="D140" s="158"/>
      <c r="E140" s="148"/>
      <c r="F140" s="148"/>
    </row>
    <row r="141" spans="1:6" ht="12.75">
      <c r="A141" s="158"/>
      <c r="B141" s="158"/>
      <c r="C141" s="158"/>
      <c r="D141" s="158"/>
      <c r="E141" s="148"/>
      <c r="F141" s="148"/>
    </row>
    <row r="142" spans="1:6" ht="12.75">
      <c r="A142" s="158"/>
      <c r="B142" s="158"/>
      <c r="C142" s="158"/>
      <c r="D142" s="158"/>
      <c r="E142" s="148"/>
      <c r="F142" s="148"/>
    </row>
    <row r="143" spans="1:6" ht="12.75">
      <c r="A143" s="158"/>
      <c r="B143" s="158"/>
      <c r="C143" s="158"/>
      <c r="D143" s="158"/>
      <c r="E143" s="148"/>
      <c r="F143" s="148"/>
    </row>
    <row r="144" spans="1:6" ht="12.75">
      <c r="A144" s="158"/>
      <c r="B144" s="158"/>
      <c r="C144" s="158"/>
      <c r="D144" s="158"/>
      <c r="E144" s="148"/>
      <c r="F144" s="148"/>
    </row>
    <row r="145" spans="1:6" ht="12.75">
      <c r="A145" s="158"/>
      <c r="B145" s="158"/>
      <c r="C145" s="158"/>
      <c r="D145" s="158"/>
      <c r="E145" s="148"/>
      <c r="F145" s="148"/>
    </row>
    <row r="146" spans="1:6" ht="12.75">
      <c r="A146" s="158"/>
      <c r="B146" s="158"/>
      <c r="C146" s="158"/>
      <c r="D146" s="158"/>
      <c r="E146" s="148"/>
      <c r="F146" s="148"/>
    </row>
    <row r="147" spans="1:6" ht="12.75">
      <c r="A147" s="158"/>
      <c r="B147" s="158"/>
      <c r="C147" s="158"/>
      <c r="D147" s="158"/>
      <c r="E147" s="148"/>
      <c r="F147" s="148"/>
    </row>
    <row r="148" spans="1:6" ht="12.75">
      <c r="A148" s="158"/>
      <c r="B148" s="158"/>
      <c r="C148" s="158"/>
      <c r="D148" s="158"/>
      <c r="E148" s="148"/>
      <c r="F148" s="148"/>
    </row>
    <row r="149" spans="1:6" ht="12.75">
      <c r="A149" s="158"/>
      <c r="B149" s="158"/>
      <c r="C149" s="158"/>
      <c r="D149" s="158"/>
      <c r="E149" s="148"/>
      <c r="F149" s="148"/>
    </row>
    <row r="150" spans="1:6" ht="12.75">
      <c r="A150" s="158"/>
      <c r="B150" s="158"/>
      <c r="C150" s="158"/>
      <c r="D150" s="158"/>
      <c r="E150" s="148"/>
      <c r="F150" s="148"/>
    </row>
    <row r="151" spans="1:6" ht="12.75">
      <c r="A151" s="158"/>
      <c r="B151" s="158"/>
      <c r="C151" s="158"/>
      <c r="D151" s="158"/>
      <c r="E151" s="148"/>
      <c r="F151" s="148"/>
    </row>
    <row r="152" spans="1:6" ht="12.75">
      <c r="A152" s="158"/>
      <c r="B152" s="158"/>
      <c r="C152" s="158"/>
      <c r="D152" s="158"/>
      <c r="E152" s="148"/>
      <c r="F152" s="148"/>
    </row>
    <row r="153" spans="1:6" ht="12.75">
      <c r="A153" s="158"/>
      <c r="B153" s="158"/>
      <c r="C153" s="158"/>
      <c r="D153" s="158"/>
      <c r="E153" s="148"/>
      <c r="F153" s="148"/>
    </row>
    <row r="154" spans="1:8" ht="12.75">
      <c r="A154" s="158"/>
      <c r="B154" s="158"/>
      <c r="C154" s="158"/>
      <c r="D154" s="158"/>
      <c r="E154" s="148"/>
      <c r="F154" s="148"/>
      <c r="G154" s="19"/>
      <c r="H154" s="19"/>
    </row>
    <row r="155" spans="1:6" ht="12.75">
      <c r="A155" s="158"/>
      <c r="B155" s="158"/>
      <c r="C155" s="158"/>
      <c r="D155" s="158"/>
      <c r="E155" s="148"/>
      <c r="F155" s="148"/>
    </row>
    <row r="156" spans="1:6" ht="12.75">
      <c r="A156" s="158"/>
      <c r="B156" s="158"/>
      <c r="C156" s="158"/>
      <c r="D156" s="158"/>
      <c r="E156" s="148"/>
      <c r="F156" s="148"/>
    </row>
    <row r="157" spans="1:12" ht="12.75">
      <c r="A157" s="158"/>
      <c r="B157" s="158"/>
      <c r="C157" s="158"/>
      <c r="D157" s="158"/>
      <c r="E157" s="159" t="s">
        <v>555</v>
      </c>
      <c r="F157" s="148"/>
      <c r="H157" t="s">
        <v>556</v>
      </c>
      <c r="I157" t="s">
        <v>557</v>
      </c>
      <c r="J157" t="s">
        <v>558</v>
      </c>
      <c r="K157" t="s">
        <v>559</v>
      </c>
      <c r="L157" s="6" t="s">
        <v>560</v>
      </c>
    </row>
    <row r="158" spans="1:12" ht="12.75">
      <c r="A158" s="158" t="s">
        <v>561</v>
      </c>
      <c r="B158" s="158">
        <f>7.4*1550</f>
        <v>11470</v>
      </c>
      <c r="C158" s="158">
        <v>0.75</v>
      </c>
      <c r="D158" s="158">
        <f>B158*C158</f>
        <v>8602.5</v>
      </c>
      <c r="E158" s="148">
        <v>71.1</v>
      </c>
      <c r="F158" s="148" t="s">
        <v>51</v>
      </c>
      <c r="G158">
        <v>8620</v>
      </c>
      <c r="H158">
        <v>49.7</v>
      </c>
      <c r="I158">
        <v>69.6</v>
      </c>
      <c r="J158" s="19">
        <f>I158-H158</f>
        <v>19.89999999999999</v>
      </c>
      <c r="K158" s="19">
        <f>(G158*4)/1056</f>
        <v>32.65151515151515</v>
      </c>
      <c r="L158" s="19">
        <f>I158/7.4</f>
        <v>9.405405405405403</v>
      </c>
    </row>
    <row r="159" spans="1:6" ht="12.75">
      <c r="A159" s="158" t="s">
        <v>562</v>
      </c>
      <c r="B159" s="158">
        <f>7.4*1550</f>
        <v>11470</v>
      </c>
      <c r="C159" s="158">
        <f>C158+0.01</f>
        <v>0.76</v>
      </c>
      <c r="D159" s="158">
        <f>B159*C159</f>
        <v>8717.2</v>
      </c>
      <c r="E159" s="148">
        <v>71.8</v>
      </c>
      <c r="F159" s="148"/>
    </row>
    <row r="160" spans="1:12" ht="12.75">
      <c r="A160" s="158">
        <f>72-48</f>
        <v>24</v>
      </c>
      <c r="B160" s="158">
        <f>7.4*1550</f>
        <v>11470</v>
      </c>
      <c r="C160" s="158">
        <f>C159+0.01</f>
        <v>0.77</v>
      </c>
      <c r="D160" s="158">
        <f>B160*C160</f>
        <v>8831.9</v>
      </c>
      <c r="E160" s="148">
        <v>72.5</v>
      </c>
      <c r="F160" s="148" t="s">
        <v>67</v>
      </c>
      <c r="G160">
        <v>8800</v>
      </c>
      <c r="H160">
        <v>47.2</v>
      </c>
      <c r="I160">
        <v>65.3</v>
      </c>
      <c r="J160" s="19">
        <f>I160-H160</f>
        <v>18.099999999999994</v>
      </c>
      <c r="K160" s="19">
        <f>(G160*6)/1056</f>
        <v>50</v>
      </c>
      <c r="L160" s="19">
        <f>I160/7.4</f>
        <v>8.824324324324323</v>
      </c>
    </row>
    <row r="161" spans="1:12" ht="12.75">
      <c r="A161" s="158">
        <f>24/28.349</f>
        <v>0.8465907086669724</v>
      </c>
      <c r="B161" s="158">
        <f>7.4*1550</f>
        <v>11470</v>
      </c>
      <c r="C161" s="158">
        <f>C160+0.01</f>
        <v>0.78</v>
      </c>
      <c r="D161" s="158">
        <f>B161*C161</f>
        <v>8946.6</v>
      </c>
      <c r="E161" s="148">
        <v>73.3</v>
      </c>
      <c r="F161" s="148" t="s">
        <v>42</v>
      </c>
      <c r="G161">
        <v>8960</v>
      </c>
      <c r="H161">
        <v>44.9</v>
      </c>
      <c r="I161">
        <v>61.2</v>
      </c>
      <c r="J161" s="19">
        <f>I161-H161</f>
        <v>16.300000000000004</v>
      </c>
      <c r="K161" s="19">
        <f>(G161*5)/1056</f>
        <v>42.42424242424242</v>
      </c>
      <c r="L161" s="19">
        <f>I161/7.4</f>
        <v>8.27027027027027</v>
      </c>
    </row>
    <row r="162" spans="1:12" ht="12.75">
      <c r="A162" s="158">
        <f>A161/16</f>
        <v>0.052911919291685774</v>
      </c>
      <c r="B162" s="158">
        <f>7.4*1550</f>
        <v>11470</v>
      </c>
      <c r="C162" s="158">
        <f>C161+0.01</f>
        <v>0.79</v>
      </c>
      <c r="D162" s="158">
        <f>B162*C162</f>
        <v>9061.300000000001</v>
      </c>
      <c r="E162" s="148">
        <v>74</v>
      </c>
      <c r="F162" s="148" t="s">
        <v>41</v>
      </c>
      <c r="G162">
        <v>9020</v>
      </c>
      <c r="H162">
        <v>44</v>
      </c>
      <c r="I162">
        <v>59.7</v>
      </c>
      <c r="J162" s="19">
        <f>I162-H162</f>
        <v>15.700000000000003</v>
      </c>
      <c r="K162" s="19">
        <f>(G162*5)/1056</f>
        <v>42.708333333333336</v>
      </c>
      <c r="L162" s="19">
        <f>I162/7.4</f>
        <v>8.067567567567568</v>
      </c>
    </row>
    <row r="163" spans="1:12" ht="12.75">
      <c r="A163" s="158"/>
      <c r="B163" s="158">
        <f>7.4*1550</f>
        <v>11470</v>
      </c>
      <c r="C163" s="158">
        <f>C162+0.01</f>
        <v>0.8</v>
      </c>
      <c r="D163" s="158">
        <f>B163*C163</f>
        <v>9176</v>
      </c>
      <c r="E163" s="148">
        <v>74.7</v>
      </c>
      <c r="F163" s="148" t="s">
        <v>563</v>
      </c>
      <c r="G163">
        <v>9160</v>
      </c>
      <c r="H163">
        <v>41.9</v>
      </c>
      <c r="I163">
        <v>56.3</v>
      </c>
      <c r="J163" s="19">
        <f>I163-H163</f>
        <v>14.399999999999999</v>
      </c>
      <c r="K163" s="19">
        <f>(G163*4)/1056</f>
        <v>34.696969696969695</v>
      </c>
      <c r="L163" s="19">
        <f>I163/7.4</f>
        <v>7.608108108108107</v>
      </c>
    </row>
    <row r="164" spans="1:6" ht="12.75">
      <c r="A164" s="158">
        <f>44.9/70</f>
        <v>0.6414285714285715</v>
      </c>
      <c r="B164" s="158">
        <f>7.4*1550</f>
        <v>11470</v>
      </c>
      <c r="C164" s="158">
        <f>C163+0.01</f>
        <v>0.81</v>
      </c>
      <c r="D164" s="158">
        <f>B164*C164</f>
        <v>9290.7</v>
      </c>
      <c r="E164" s="148">
        <v>75.3</v>
      </c>
      <c r="F164" s="148"/>
    </row>
    <row r="165" spans="1:12" ht="12.75">
      <c r="A165" s="158">
        <f>16*A164</f>
        <v>10.262857142857143</v>
      </c>
      <c r="B165" s="158">
        <f>7.4*1550</f>
        <v>11470</v>
      </c>
      <c r="C165" s="158">
        <f>C164+0.01</f>
        <v>0.8200000000000001</v>
      </c>
      <c r="D165" s="158">
        <f>B165*C165</f>
        <v>9405.400000000001</v>
      </c>
      <c r="E165" s="148">
        <v>75.9</v>
      </c>
      <c r="F165" s="148" t="s">
        <v>35</v>
      </c>
      <c r="G165">
        <v>9420</v>
      </c>
      <c r="H165">
        <v>37.9</v>
      </c>
      <c r="I165">
        <v>49.9</v>
      </c>
      <c r="J165" s="19">
        <f>I165-H165</f>
        <v>12</v>
      </c>
      <c r="K165" s="19">
        <f>(G165*4)/1056</f>
        <v>35.68181818181818</v>
      </c>
      <c r="L165" s="19">
        <f>I165/7.4</f>
        <v>6.743243243243243</v>
      </c>
    </row>
    <row r="166" spans="1:12" ht="12.75">
      <c r="A166" s="158"/>
      <c r="B166" s="158">
        <f>7.4*1550</f>
        <v>11470</v>
      </c>
      <c r="C166" s="158">
        <f>C165+0.01</f>
        <v>0.8300000000000001</v>
      </c>
      <c r="D166" s="158">
        <f>B166*C166</f>
        <v>9520.1</v>
      </c>
      <c r="E166" s="148">
        <v>76.5</v>
      </c>
      <c r="F166" s="148" t="s">
        <v>21</v>
      </c>
      <c r="G166">
        <v>9510</v>
      </c>
      <c r="H166">
        <v>36.5</v>
      </c>
      <c r="I166">
        <v>47.7</v>
      </c>
      <c r="J166" s="19">
        <f>I166-H166</f>
        <v>11.200000000000003</v>
      </c>
      <c r="K166" s="19">
        <f>(G166*4)/1056</f>
        <v>36.02272727272727</v>
      </c>
      <c r="L166" s="19">
        <f>I166/7.4</f>
        <v>6.445945945945946</v>
      </c>
    </row>
    <row r="167" spans="1:6" ht="12.75">
      <c r="A167" s="158">
        <f>A165+A161</f>
        <v>11.109447851524116</v>
      </c>
      <c r="B167" s="158">
        <f>7.4*1550</f>
        <v>11470</v>
      </c>
      <c r="C167" s="158">
        <f>C166+0.01</f>
        <v>0.8400000000000001</v>
      </c>
      <c r="D167" s="158">
        <f>B167*C167</f>
        <v>9634.800000000001</v>
      </c>
      <c r="E167" s="148">
        <v>77.1</v>
      </c>
      <c r="F167" s="148"/>
    </row>
    <row r="168" spans="1:6" ht="12.75">
      <c r="A168" s="158">
        <f>A167/16</f>
        <v>0.6943404907202573</v>
      </c>
      <c r="B168" s="158">
        <f>7.4*1550</f>
        <v>11470</v>
      </c>
      <c r="C168" s="158">
        <f>C167+0.01</f>
        <v>0.8500000000000001</v>
      </c>
      <c r="D168" s="158">
        <f>B168*C168</f>
        <v>9749.500000000002</v>
      </c>
      <c r="E168" s="148">
        <v>77.5</v>
      </c>
      <c r="F168" s="148"/>
    </row>
    <row r="169" spans="1:6" ht="12.75">
      <c r="A169" s="158">
        <f>69.7/A168</f>
        <v>100.38302667283367</v>
      </c>
      <c r="B169" s="158">
        <f>7.4*1550</f>
        <v>11470</v>
      </c>
      <c r="C169" s="158">
        <f>C168+0.01</f>
        <v>0.8600000000000001</v>
      </c>
      <c r="D169" s="158">
        <f>B169*C169</f>
        <v>9864.2</v>
      </c>
      <c r="E169" s="148">
        <v>77.9</v>
      </c>
      <c r="F169" s="148"/>
    </row>
    <row r="170" spans="1:6" ht="12.75">
      <c r="A170" s="158"/>
      <c r="B170" s="158">
        <f>7.4*1550</f>
        <v>11470</v>
      </c>
      <c r="C170" s="158">
        <f>C169+0.01</f>
        <v>0.8700000000000001</v>
      </c>
      <c r="D170" s="158">
        <f>B170*C170</f>
        <v>9978.900000000001</v>
      </c>
      <c r="E170" s="148">
        <v>78.3</v>
      </c>
      <c r="F170" s="148"/>
    </row>
    <row r="171" spans="1:6" ht="12.75">
      <c r="A171" s="158"/>
      <c r="B171" s="158">
        <f>7.4*1550</f>
        <v>11470</v>
      </c>
      <c r="C171" s="158">
        <f>C170+0.01</f>
        <v>0.8800000000000001</v>
      </c>
      <c r="D171" s="158">
        <f>B171*C171</f>
        <v>10093.600000000002</v>
      </c>
      <c r="E171" s="148">
        <v>78.5</v>
      </c>
      <c r="F171" s="148"/>
    </row>
    <row r="172" spans="1:6" ht="12.75">
      <c r="A172" s="158"/>
      <c r="B172" s="160">
        <f>7.4*1550</f>
        <v>11470</v>
      </c>
      <c r="C172" s="160">
        <f>C171+0.01</f>
        <v>0.8900000000000001</v>
      </c>
      <c r="D172" s="160">
        <f>B172*C172</f>
        <v>10208.300000000001</v>
      </c>
      <c r="E172" s="161">
        <v>78.6</v>
      </c>
      <c r="F172" s="148"/>
    </row>
    <row r="173" spans="1:6" ht="12.75">
      <c r="A173" s="158"/>
      <c r="B173" s="158">
        <f>7.4*1550</f>
        <v>11470</v>
      </c>
      <c r="C173" s="158">
        <f>C172+0.01</f>
        <v>0.9000000000000001</v>
      </c>
      <c r="D173" s="158">
        <f>B173*C173</f>
        <v>10323.000000000002</v>
      </c>
      <c r="E173" s="148">
        <v>78.5</v>
      </c>
      <c r="F173" s="148"/>
    </row>
    <row r="174" spans="1:8" ht="12.75">
      <c r="A174" s="158"/>
      <c r="B174" s="158">
        <f>7.4*1550</f>
        <v>11470</v>
      </c>
      <c r="C174" s="158">
        <f>C173+0.01</f>
        <v>0.9100000000000001</v>
      </c>
      <c r="D174" s="158">
        <f>B174*C174</f>
        <v>10437.7</v>
      </c>
      <c r="E174" s="148">
        <v>78.3</v>
      </c>
      <c r="F174" s="148"/>
      <c r="G174" s="19"/>
      <c r="H174" s="19"/>
    </row>
    <row r="175" spans="1:6" ht="12.75">
      <c r="A175" s="158"/>
      <c r="B175" s="158">
        <f>7.4*1550</f>
        <v>11470</v>
      </c>
      <c r="C175" s="158">
        <f>C174+0.01</f>
        <v>0.9200000000000002</v>
      </c>
      <c r="D175" s="158">
        <f>B175*C175</f>
        <v>10552.400000000001</v>
      </c>
      <c r="E175" s="148">
        <v>77.7</v>
      </c>
      <c r="F175" s="148"/>
    </row>
    <row r="176" spans="1:12" ht="12.75">
      <c r="A176" s="158"/>
      <c r="B176" s="158"/>
      <c r="C176" s="158"/>
      <c r="D176" s="158"/>
      <c r="E176" s="148"/>
      <c r="F176" s="148"/>
      <c r="L176" s="6" t="s">
        <v>560</v>
      </c>
    </row>
    <row r="177" spans="1:14" ht="12.75">
      <c r="A177" s="158"/>
      <c r="B177" s="158">
        <f>11.1*1550</f>
        <v>17205</v>
      </c>
      <c r="C177" s="150">
        <f>G177/B177</f>
        <v>0.6532984597500726</v>
      </c>
      <c r="D177" s="158"/>
      <c r="E177" s="148">
        <v>62.6</v>
      </c>
      <c r="F177" s="148" t="s">
        <v>51</v>
      </c>
      <c r="G177">
        <v>11240</v>
      </c>
      <c r="H177">
        <v>122.3</v>
      </c>
      <c r="I177">
        <v>195.4</v>
      </c>
      <c r="J177" s="19">
        <f>I177-H177</f>
        <v>73.10000000000001</v>
      </c>
      <c r="K177" s="19">
        <f>(G177*4)/1056</f>
        <v>42.57575757575758</v>
      </c>
      <c r="L177" s="19">
        <f>I177/11.1</f>
        <v>17.603603603603606</v>
      </c>
      <c r="M177" s="19">
        <f>1.771*L158</f>
        <v>16.65697297297297</v>
      </c>
      <c r="N177" s="19">
        <f>L158*2.25</f>
        <v>21.162162162162158</v>
      </c>
    </row>
    <row r="178" spans="1:14" ht="12.75">
      <c r="A178" s="158"/>
      <c r="B178" s="158">
        <f>11.1*1550</f>
        <v>17205</v>
      </c>
      <c r="C178" s="150">
        <f>G178/B178</f>
        <v>0.6782911944202267</v>
      </c>
      <c r="D178" s="158"/>
      <c r="E178" s="148">
        <v>64.7</v>
      </c>
      <c r="F178" s="148" t="s">
        <v>67</v>
      </c>
      <c r="G178">
        <v>11670</v>
      </c>
      <c r="H178">
        <v>116</v>
      </c>
      <c r="I178">
        <v>179.2</v>
      </c>
      <c r="J178" s="19">
        <f>I178-H178</f>
        <v>63.19999999999999</v>
      </c>
      <c r="K178" s="19">
        <f>(G178*6)/1056</f>
        <v>66.30681818181819</v>
      </c>
      <c r="L178" s="19">
        <f>I178/11.1</f>
        <v>16.144144144144143</v>
      </c>
      <c r="M178" s="19">
        <f>1.771*L160</f>
        <v>15.627878378378375</v>
      </c>
      <c r="N178" s="19">
        <f>2.25*L160</f>
        <v>19.854729729729726</v>
      </c>
    </row>
    <row r="179" spans="1:14" ht="12.75">
      <c r="A179" s="158"/>
      <c r="B179" s="158">
        <f>11.1*1550</f>
        <v>17205</v>
      </c>
      <c r="C179" s="150">
        <f>G179/B179</f>
        <v>0.6963092124382447</v>
      </c>
      <c r="D179" s="158"/>
      <c r="E179" s="148">
        <v>66.2</v>
      </c>
      <c r="F179" s="148" t="s">
        <v>42</v>
      </c>
      <c r="G179">
        <v>11980</v>
      </c>
      <c r="H179">
        <v>111.1</v>
      </c>
      <c r="I179">
        <v>167.8</v>
      </c>
      <c r="J179" s="19">
        <f>I179-H179</f>
        <v>56.70000000000002</v>
      </c>
      <c r="K179" s="19">
        <f>(G179*5)/1056</f>
        <v>56.72348484848485</v>
      </c>
      <c r="L179" s="19">
        <f>I179/11.1</f>
        <v>15.117117117117118</v>
      </c>
      <c r="M179" s="19">
        <f>1.771*L161</f>
        <v>14.646648648648648</v>
      </c>
      <c r="N179" s="19">
        <f>2.25*L161</f>
        <v>18.60810810810811</v>
      </c>
    </row>
    <row r="180" spans="1:14" ht="12.75">
      <c r="A180" s="158"/>
      <c r="B180" s="158">
        <f>11.1*1550</f>
        <v>17205</v>
      </c>
      <c r="C180" s="150">
        <f>G180/B180</f>
        <v>0.6934030804998547</v>
      </c>
      <c r="D180" s="158"/>
      <c r="E180" s="148">
        <v>66</v>
      </c>
      <c r="F180" s="148" t="s">
        <v>41</v>
      </c>
      <c r="G180">
        <v>11930</v>
      </c>
      <c r="H180">
        <v>111.9</v>
      </c>
      <c r="I180">
        <v>169.6</v>
      </c>
      <c r="J180" s="19">
        <f>I180-H180</f>
        <v>57.69999999999999</v>
      </c>
      <c r="K180" s="19">
        <f>(G180*5)/1056</f>
        <v>56.48674242424242</v>
      </c>
      <c r="L180" s="19">
        <f>I180/11.1</f>
        <v>15.27927927927928</v>
      </c>
      <c r="M180" s="19">
        <f>1.771*L162</f>
        <v>14.287662162162164</v>
      </c>
      <c r="N180" s="19">
        <f>2.25*L162</f>
        <v>18.152027027027028</v>
      </c>
    </row>
    <row r="181" spans="1:14" ht="12.75">
      <c r="A181" s="158"/>
      <c r="B181" s="158">
        <f>11.1*1550</f>
        <v>17205</v>
      </c>
      <c r="C181" s="150">
        <f>G181/B181</f>
        <v>0.7096774193548387</v>
      </c>
      <c r="D181" s="158"/>
      <c r="E181" s="148">
        <v>67.3</v>
      </c>
      <c r="F181" s="148" t="s">
        <v>563</v>
      </c>
      <c r="G181">
        <v>12210</v>
      </c>
      <c r="H181">
        <v>107.4</v>
      </c>
      <c r="I181">
        <v>159.5</v>
      </c>
      <c r="J181" s="19">
        <f>I181-H181</f>
        <v>52.099999999999994</v>
      </c>
      <c r="K181" s="19">
        <f>(G181*4)/1056</f>
        <v>46.25</v>
      </c>
      <c r="L181" s="19">
        <f>I181/11.1</f>
        <v>14.36936936936937</v>
      </c>
      <c r="M181" s="19">
        <f>1.771*L163</f>
        <v>13.473959459459456</v>
      </c>
      <c r="N181" s="19">
        <f>2.25*L163</f>
        <v>17.118243243243242</v>
      </c>
    </row>
    <row r="182" spans="1:14" ht="12.75">
      <c r="A182" s="158"/>
      <c r="B182" s="158">
        <f>11.1*1550</f>
        <v>17205</v>
      </c>
      <c r="C182" s="150">
        <f>G182/B182</f>
        <v>0.7393199651264167</v>
      </c>
      <c r="D182" s="158"/>
      <c r="E182" s="148">
        <v>69.7</v>
      </c>
      <c r="F182" s="148" t="s">
        <v>35</v>
      </c>
      <c r="G182">
        <v>12720</v>
      </c>
      <c r="H182">
        <v>98.6</v>
      </c>
      <c r="I182">
        <v>141.5</v>
      </c>
      <c r="J182" s="19">
        <f>I182-H182</f>
        <v>42.900000000000006</v>
      </c>
      <c r="K182" s="19">
        <f>(G182*4)/1056</f>
        <v>48.18181818181818</v>
      </c>
      <c r="L182" s="19">
        <f>I182/11.1</f>
        <v>12.747747747747749</v>
      </c>
      <c r="M182" s="19">
        <f>1.771*L165</f>
        <v>11.942283783783783</v>
      </c>
      <c r="N182" s="19">
        <f>2.25*L165</f>
        <v>15.172297297297296</v>
      </c>
    </row>
    <row r="183" spans="1:14" ht="12.75">
      <c r="A183" s="158"/>
      <c r="B183" s="158">
        <f>11.1*1550</f>
        <v>17205</v>
      </c>
      <c r="C183" s="150">
        <f>G183/B183</f>
        <v>0.7381575123510608</v>
      </c>
      <c r="D183" s="158"/>
      <c r="E183" s="148">
        <v>69.6</v>
      </c>
      <c r="F183" s="148" t="s">
        <v>21</v>
      </c>
      <c r="G183">
        <v>12700</v>
      </c>
      <c r="H183">
        <v>99</v>
      </c>
      <c r="I183">
        <v>142.2</v>
      </c>
      <c r="J183" s="19">
        <f>I183-H183</f>
        <v>43.19999999999999</v>
      </c>
      <c r="K183" s="19">
        <f>(G183*4)/1056</f>
        <v>48.10606060606061</v>
      </c>
      <c r="L183" s="19">
        <f>I183/11.1</f>
        <v>12.81081081081081</v>
      </c>
      <c r="M183" s="19">
        <f>1.771*L166</f>
        <v>11.415770270270269</v>
      </c>
      <c r="N183" s="19">
        <f>2.25*L166</f>
        <v>14.503378378378377</v>
      </c>
    </row>
    <row r="184" spans="1:6" ht="12.75">
      <c r="A184" s="158"/>
      <c r="B184" s="158"/>
      <c r="C184" s="150"/>
      <c r="D184" s="158"/>
      <c r="E184" s="148"/>
      <c r="F184" s="148"/>
    </row>
    <row r="185" spans="1:12" ht="12.75">
      <c r="A185" s="158"/>
      <c r="B185" s="158"/>
      <c r="C185" s="158"/>
      <c r="D185" s="158"/>
      <c r="E185" s="162" t="s">
        <v>555</v>
      </c>
      <c r="F185" s="148" t="s">
        <v>1</v>
      </c>
      <c r="G185" s="6" t="s">
        <v>564</v>
      </c>
      <c r="H185" t="s">
        <v>556</v>
      </c>
      <c r="I185" t="s">
        <v>557</v>
      </c>
      <c r="J185" t="s">
        <v>558</v>
      </c>
      <c r="K185" t="s">
        <v>559</v>
      </c>
      <c r="L185" t="s">
        <v>560</v>
      </c>
    </row>
    <row r="186" spans="1:12" ht="12.75">
      <c r="A186" s="158"/>
      <c r="B186" s="158">
        <f>11.1*1550</f>
        <v>17205</v>
      </c>
      <c r="C186" s="158">
        <v>0.71</v>
      </c>
      <c r="D186" s="158">
        <f>B186*C186</f>
        <v>12215.55</v>
      </c>
      <c r="E186" s="148">
        <v>67.4</v>
      </c>
      <c r="F186" s="148" t="s">
        <v>563</v>
      </c>
      <c r="G186">
        <v>12210</v>
      </c>
      <c r="H186">
        <v>107.4</v>
      </c>
      <c r="I186">
        <v>159.5</v>
      </c>
      <c r="J186" s="19">
        <f>I186-H186</f>
        <v>52.099999999999994</v>
      </c>
      <c r="K186" s="19">
        <f>(G186*4)/1056</f>
        <v>46.25</v>
      </c>
      <c r="L186" s="19">
        <f>I186/11.1</f>
        <v>14.36936936936937</v>
      </c>
    </row>
    <row r="187" spans="1:6" ht="12.75">
      <c r="A187" s="158"/>
      <c r="B187" s="158">
        <f>11.1*1550</f>
        <v>17205</v>
      </c>
      <c r="C187" s="158">
        <v>0.72</v>
      </c>
      <c r="D187" s="158">
        <f>B187*C187</f>
        <v>12387.6</v>
      </c>
      <c r="E187" s="148">
        <v>68.2</v>
      </c>
      <c r="F187" s="148"/>
    </row>
    <row r="188" spans="1:6" ht="12.75">
      <c r="A188" s="158"/>
      <c r="B188" s="158">
        <f>11.1*1550</f>
        <v>17205</v>
      </c>
      <c r="C188" s="158">
        <v>0.73</v>
      </c>
      <c r="D188" s="158">
        <f>B188*C188</f>
        <v>12559.65</v>
      </c>
      <c r="E188" s="148">
        <v>69</v>
      </c>
      <c r="F188" s="148"/>
    </row>
    <row r="189" spans="1:6" ht="12.75">
      <c r="A189" s="158"/>
      <c r="B189" s="158">
        <f>11.1*1550</f>
        <v>17205</v>
      </c>
      <c r="C189" s="158">
        <v>0.74</v>
      </c>
      <c r="D189" s="158">
        <f>B189*C189</f>
        <v>12731.7</v>
      </c>
      <c r="E189" s="148">
        <v>69.7</v>
      </c>
      <c r="F189" s="148"/>
    </row>
    <row r="190" spans="1:6" ht="12.75">
      <c r="A190" s="158"/>
      <c r="B190" s="158">
        <f>11.1*1550</f>
        <v>17205</v>
      </c>
      <c r="C190" s="158">
        <v>0.75</v>
      </c>
      <c r="D190" s="158">
        <f>B190*C190</f>
        <v>12903.75</v>
      </c>
      <c r="E190" s="148">
        <v>70.5</v>
      </c>
      <c r="F190" s="148"/>
    </row>
    <row r="191" spans="1:6" ht="12.75">
      <c r="A191" s="158"/>
      <c r="B191" s="158">
        <f>11.1*1550</f>
        <v>17205</v>
      </c>
      <c r="C191" s="158">
        <f>C190+0.01</f>
        <v>0.76</v>
      </c>
      <c r="D191" s="158">
        <f>B191*C191</f>
        <v>13075.8</v>
      </c>
      <c r="E191" s="148">
        <v>71.2</v>
      </c>
      <c r="F191" s="148"/>
    </row>
    <row r="192" spans="1:6" ht="12.75">
      <c r="A192" s="158"/>
      <c r="B192" s="158">
        <f>11.1*1550</f>
        <v>17205</v>
      </c>
      <c r="C192" s="158">
        <f>C191+0.01</f>
        <v>0.77</v>
      </c>
      <c r="D192" s="158">
        <f>B192*C192</f>
        <v>13247.85</v>
      </c>
      <c r="E192" s="148">
        <v>72</v>
      </c>
      <c r="F192" s="148"/>
    </row>
    <row r="193" spans="1:12" ht="12.75">
      <c r="A193" s="158"/>
      <c r="B193" s="158">
        <f>11.1*1550</f>
        <v>17205</v>
      </c>
      <c r="C193" s="158">
        <f>C192+0.01</f>
        <v>0.78</v>
      </c>
      <c r="D193" s="158">
        <f>B193*C193</f>
        <v>13419.9</v>
      </c>
      <c r="E193" s="148">
        <v>72.6</v>
      </c>
      <c r="F193" s="148" t="s">
        <v>22</v>
      </c>
      <c r="G193">
        <v>13520</v>
      </c>
      <c r="H193">
        <v>83.7</v>
      </c>
      <c r="I193">
        <v>114.6</v>
      </c>
      <c r="J193" s="19">
        <f>I193-H193</f>
        <v>30.89999999999999</v>
      </c>
      <c r="K193" s="19">
        <f>(G193*5.5)/1056</f>
        <v>70.41666666666667</v>
      </c>
      <c r="L193" s="19">
        <f>I193/11.1</f>
        <v>10.324324324324325</v>
      </c>
    </row>
    <row r="194" spans="1:12" ht="12.75">
      <c r="A194" s="158"/>
      <c r="B194" s="158">
        <f>11.1*1550</f>
        <v>17205</v>
      </c>
      <c r="C194" s="158">
        <f>C193+0.01</f>
        <v>0.79</v>
      </c>
      <c r="D194" s="158">
        <f>B194*C194</f>
        <v>13591.95</v>
      </c>
      <c r="E194" s="148">
        <v>73.3</v>
      </c>
      <c r="F194" s="148" t="s">
        <v>22</v>
      </c>
      <c r="G194">
        <v>13520</v>
      </c>
      <c r="H194">
        <v>83.7</v>
      </c>
      <c r="I194">
        <v>114.6</v>
      </c>
      <c r="J194" s="19">
        <f>I194-H194</f>
        <v>30.89999999999999</v>
      </c>
      <c r="K194" s="19">
        <f>(G194*5.5)/1056</f>
        <v>70.41666666666667</v>
      </c>
      <c r="L194" s="19">
        <f>I194/11.1</f>
        <v>10.324324324324325</v>
      </c>
    </row>
    <row r="195" spans="1:6" ht="12.75">
      <c r="A195" s="158"/>
      <c r="B195" s="158">
        <f>11.1*1550</f>
        <v>17205</v>
      </c>
      <c r="C195" s="158">
        <f>C194+0.01</f>
        <v>0.8</v>
      </c>
      <c r="D195" s="158">
        <f>B195*C195</f>
        <v>13764</v>
      </c>
      <c r="E195" s="148">
        <v>73.9</v>
      </c>
      <c r="F195" s="148"/>
    </row>
    <row r="196" spans="1:6" ht="12.75">
      <c r="A196" s="158"/>
      <c r="B196" s="158">
        <f>11.1*1550</f>
        <v>17205</v>
      </c>
      <c r="C196" s="158">
        <f>C195+0.01</f>
        <v>0.81</v>
      </c>
      <c r="D196" s="158">
        <f>B196*C196</f>
        <v>13936.050000000001</v>
      </c>
      <c r="E196" s="148">
        <v>74.5</v>
      </c>
      <c r="F196" s="148"/>
    </row>
    <row r="197" spans="1:6" ht="12.75">
      <c r="A197" s="158"/>
      <c r="B197" s="158">
        <f>11.1*1550</f>
        <v>17205</v>
      </c>
      <c r="C197" s="158">
        <f>C196+0.01</f>
        <v>0.8200000000000001</v>
      </c>
      <c r="D197" s="158">
        <f>B197*C197</f>
        <v>14108.1</v>
      </c>
      <c r="E197" s="148">
        <v>75.1</v>
      </c>
      <c r="F197" s="148"/>
    </row>
    <row r="198" spans="2:12" ht="12.75">
      <c r="B198" s="158">
        <f>11.1*1550</f>
        <v>17205</v>
      </c>
      <c r="C198" s="158">
        <f>C197+0.01</f>
        <v>0.8300000000000001</v>
      </c>
      <c r="D198" s="158">
        <f>B198*C198</f>
        <v>14280.150000000001</v>
      </c>
      <c r="E198" s="148">
        <v>75.6</v>
      </c>
      <c r="F198" s="148" t="s">
        <v>13</v>
      </c>
      <c r="G198">
        <v>14210</v>
      </c>
      <c r="H198">
        <v>69.7</v>
      </c>
      <c r="I198">
        <v>92.5</v>
      </c>
      <c r="J198" s="19">
        <f>I198-H198</f>
        <v>22.799999999999997</v>
      </c>
      <c r="K198" s="19">
        <f>(G198*4)/1056</f>
        <v>53.82575757575758</v>
      </c>
      <c r="L198" s="19">
        <f>I198/11.1</f>
        <v>8.333333333333334</v>
      </c>
    </row>
    <row r="199" spans="2:6" ht="12.75">
      <c r="B199" s="158">
        <f>11.1*1550</f>
        <v>17205</v>
      </c>
      <c r="C199" s="158">
        <f>C198+0.01</f>
        <v>0.8400000000000001</v>
      </c>
      <c r="D199" s="158">
        <f>B199*C199</f>
        <v>14452.2</v>
      </c>
      <c r="E199" s="148">
        <v>76</v>
      </c>
      <c r="F199" s="148"/>
    </row>
    <row r="200" spans="2:6" ht="12.75">
      <c r="B200" s="158">
        <f>11.1*1550</f>
        <v>17205</v>
      </c>
      <c r="C200" s="158">
        <f>C199+0.01</f>
        <v>0.8500000000000001</v>
      </c>
      <c r="D200" s="158">
        <f>B200*C200</f>
        <v>14624.250000000002</v>
      </c>
      <c r="E200" s="148">
        <v>76.4</v>
      </c>
      <c r="F200" s="148"/>
    </row>
    <row r="201" spans="2:6" ht="12.75">
      <c r="B201" s="158">
        <f>11.1*1550</f>
        <v>17205</v>
      </c>
      <c r="C201" s="158">
        <f>C200+0.01</f>
        <v>0.8600000000000001</v>
      </c>
      <c r="D201" s="158">
        <f>B201*C201</f>
        <v>14796.300000000001</v>
      </c>
      <c r="E201" s="148">
        <v>76.7</v>
      </c>
      <c r="F201" s="148"/>
    </row>
    <row r="202" spans="2:5" ht="12.75">
      <c r="B202" s="158">
        <f>11.1*1550</f>
        <v>17205</v>
      </c>
      <c r="C202" s="158">
        <f>C201+0.01</f>
        <v>0.8700000000000001</v>
      </c>
      <c r="D202" s="158">
        <f>B202*C202</f>
        <v>14968.350000000002</v>
      </c>
      <c r="E202" s="148">
        <v>76.9</v>
      </c>
    </row>
    <row r="203" spans="2:5" ht="12.75">
      <c r="B203" s="158">
        <f>11.1*1550</f>
        <v>17205</v>
      </c>
      <c r="C203" s="158">
        <f>C202+0.01</f>
        <v>0.8800000000000001</v>
      </c>
      <c r="D203" s="158">
        <f>B203*C203</f>
        <v>15140.400000000001</v>
      </c>
      <c r="E203" s="148">
        <v>76.9</v>
      </c>
    </row>
    <row r="204" spans="2:5" ht="12.75">
      <c r="B204" s="158">
        <f>11.1*1550</f>
        <v>17205</v>
      </c>
      <c r="C204" s="158">
        <f>C203+0.01</f>
        <v>0.8900000000000001</v>
      </c>
      <c r="D204" s="158">
        <f>B204*C204</f>
        <v>15312.450000000003</v>
      </c>
      <c r="E204" s="148">
        <v>76.9</v>
      </c>
    </row>
    <row r="205" spans="2:5" ht="12.75">
      <c r="B205" s="158">
        <f>11.1*1550</f>
        <v>17205</v>
      </c>
      <c r="C205" s="158">
        <f>C204+0.01</f>
        <v>0.9000000000000001</v>
      </c>
      <c r="D205" s="158">
        <f>B205*C205</f>
        <v>15484.500000000002</v>
      </c>
      <c r="E205" s="148">
        <v>76.6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"/>
  <sheetViews>
    <sheetView zoomScale="110" zoomScaleNormal="110" workbookViewId="0" topLeftCell="A46">
      <selection activeCell="H4" sqref="H4"/>
    </sheetView>
  </sheetViews>
  <sheetFormatPr defaultColWidth="12.5742187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8515625" style="0" customWidth="1"/>
    <col min="5" max="5" width="13.421875" style="0" customWidth="1"/>
    <col min="6" max="6" width="4.8515625" style="0" customWidth="1"/>
    <col min="7" max="7" width="5.28125" style="0" customWidth="1"/>
    <col min="8" max="16384" width="11.57421875" style="0" customWidth="1"/>
  </cols>
  <sheetData>
    <row r="1" spans="1:7" ht="12.75">
      <c r="A1" s="1" t="s">
        <v>0</v>
      </c>
      <c r="B1" s="2" t="s">
        <v>427</v>
      </c>
      <c r="C1" s="2" t="s">
        <v>428</v>
      </c>
      <c r="D1" s="2" t="s">
        <v>429</v>
      </c>
      <c r="E1" s="2" t="s">
        <v>430</v>
      </c>
      <c r="F1" s="2" t="s">
        <v>8</v>
      </c>
      <c r="G1" s="2" t="s">
        <v>7</v>
      </c>
    </row>
    <row r="2" spans="1:8" ht="12.75">
      <c r="A2" s="1" t="s">
        <v>9</v>
      </c>
      <c r="B2" s="2">
        <v>1.5</v>
      </c>
      <c r="C2" s="4">
        <v>0</v>
      </c>
      <c r="D2" s="4">
        <v>0.2257</v>
      </c>
      <c r="E2" s="2" t="s">
        <v>431</v>
      </c>
      <c r="F2" s="2">
        <v>22.4</v>
      </c>
      <c r="G2" s="2">
        <v>1960</v>
      </c>
      <c r="H2" t="s">
        <v>565</v>
      </c>
    </row>
    <row r="3" spans="1:7" ht="12.75">
      <c r="A3" s="1" t="s">
        <v>17</v>
      </c>
      <c r="B3" s="2">
        <v>1.47</v>
      </c>
      <c r="C3" s="4">
        <v>0.00030000000000000003</v>
      </c>
      <c r="D3" s="4">
        <v>0.2401</v>
      </c>
      <c r="E3" s="2" t="s">
        <v>431</v>
      </c>
      <c r="F3" s="2">
        <v>22.5</v>
      </c>
      <c r="G3" s="2">
        <v>1750</v>
      </c>
    </row>
    <row r="4" spans="1:7" ht="12.75">
      <c r="A4" s="1" t="s">
        <v>24</v>
      </c>
      <c r="B4" s="2">
        <v>1.34</v>
      </c>
      <c r="C4" s="4">
        <v>0.0006000000000000001</v>
      </c>
      <c r="D4" s="4">
        <v>0.30760000000000004</v>
      </c>
      <c r="E4" s="2" t="s">
        <v>431</v>
      </c>
      <c r="F4" s="2">
        <v>22.5</v>
      </c>
      <c r="G4" s="2">
        <v>1080</v>
      </c>
    </row>
    <row r="5" spans="1:7" ht="12.75">
      <c r="A5" s="1" t="s">
        <v>30</v>
      </c>
      <c r="B5" s="2">
        <v>1.27</v>
      </c>
      <c r="C5" s="4">
        <v>0.001</v>
      </c>
      <c r="D5" s="4">
        <v>0.33590000000000003</v>
      </c>
      <c r="E5" s="2" t="s">
        <v>431</v>
      </c>
      <c r="F5" s="2">
        <v>35.4</v>
      </c>
      <c r="G5" s="2">
        <v>1900</v>
      </c>
    </row>
    <row r="6" spans="1:7" ht="12.75">
      <c r="A6" s="1" t="s">
        <v>34</v>
      </c>
      <c r="B6" s="2">
        <v>1.24</v>
      </c>
      <c r="C6" s="4">
        <v>0.0027</v>
      </c>
      <c r="D6" s="4">
        <v>0.36460000000000004</v>
      </c>
      <c r="E6" s="2" t="s">
        <v>431</v>
      </c>
      <c r="F6" s="2">
        <v>35.4</v>
      </c>
      <c r="G6" s="2">
        <v>1585</v>
      </c>
    </row>
    <row r="7" spans="1:7" ht="12.75">
      <c r="A7" s="1" t="s">
        <v>38</v>
      </c>
      <c r="B7" s="2">
        <v>1.29</v>
      </c>
      <c r="C7" s="4">
        <v>0.0031000000000000003</v>
      </c>
      <c r="D7" s="4">
        <v>0.33770000000000006</v>
      </c>
      <c r="E7" s="2" t="s">
        <v>431</v>
      </c>
      <c r="F7" s="2">
        <v>35.4</v>
      </c>
      <c r="G7" s="2">
        <v>1490</v>
      </c>
    </row>
    <row r="8" spans="1:7" ht="12.75">
      <c r="A8" s="1" t="s">
        <v>43</v>
      </c>
      <c r="B8" s="2">
        <v>1.34</v>
      </c>
      <c r="C8" s="4">
        <v>0.0025</v>
      </c>
      <c r="D8" s="4">
        <v>0.3102</v>
      </c>
      <c r="E8" s="2" t="s">
        <v>431</v>
      </c>
      <c r="F8" s="2">
        <v>45</v>
      </c>
      <c r="G8" s="2">
        <v>1280</v>
      </c>
    </row>
    <row r="9" spans="1:7" ht="12.75">
      <c r="A9" s="1" t="s">
        <v>54</v>
      </c>
      <c r="B9" s="2">
        <v>1.27</v>
      </c>
      <c r="C9" s="4">
        <v>0.0012000000000000001</v>
      </c>
      <c r="D9" s="4">
        <v>0.34600000000000003</v>
      </c>
      <c r="E9" s="2" t="s">
        <v>431</v>
      </c>
      <c r="F9" s="2">
        <v>45</v>
      </c>
      <c r="G9" s="2">
        <v>1100</v>
      </c>
    </row>
    <row r="10" spans="1:7" ht="12.75">
      <c r="A10" s="1" t="s">
        <v>62</v>
      </c>
      <c r="B10" s="2">
        <v>1.49</v>
      </c>
      <c r="C10" s="4">
        <v>0.0025</v>
      </c>
      <c r="D10" s="4">
        <v>0.2328</v>
      </c>
      <c r="E10" s="2" t="s">
        <v>431</v>
      </c>
      <c r="F10" s="2">
        <v>46.5</v>
      </c>
      <c r="G10" s="2">
        <v>2000</v>
      </c>
    </row>
    <row r="11" spans="1:7" ht="12.75">
      <c r="A11" s="1" t="s">
        <v>65</v>
      </c>
      <c r="B11" s="2">
        <v>1.46</v>
      </c>
      <c r="C11" s="4">
        <v>0.0031000000000000003</v>
      </c>
      <c r="D11" s="4">
        <v>0.2486</v>
      </c>
      <c r="E11" s="2" t="s">
        <v>431</v>
      </c>
      <c r="F11" s="2">
        <v>46.5</v>
      </c>
      <c r="G11" s="2">
        <v>1550</v>
      </c>
    </row>
    <row r="12" spans="1:7" ht="12.75">
      <c r="A12" s="1" t="s">
        <v>69</v>
      </c>
      <c r="B12" s="2">
        <v>1.35</v>
      </c>
      <c r="C12" s="4">
        <v>0.0018000000000000002</v>
      </c>
      <c r="D12" s="4">
        <v>0.3038</v>
      </c>
      <c r="E12" s="2" t="s">
        <v>431</v>
      </c>
      <c r="F12" s="2">
        <v>47</v>
      </c>
      <c r="G12" s="2">
        <v>1180</v>
      </c>
    </row>
    <row r="13" spans="1:7" ht="12.75">
      <c r="A13" s="20" t="s">
        <v>69</v>
      </c>
      <c r="B13" s="16">
        <v>1.43</v>
      </c>
      <c r="C13" s="22">
        <v>0.0005</v>
      </c>
      <c r="D13" s="22">
        <v>0.1788</v>
      </c>
      <c r="E13" s="16" t="s">
        <v>432</v>
      </c>
      <c r="F13" s="16">
        <v>47</v>
      </c>
      <c r="G13" s="16">
        <v>1180</v>
      </c>
    </row>
    <row r="14" spans="1:7" ht="12.75">
      <c r="A14" s="140" t="s">
        <v>443</v>
      </c>
      <c r="B14" s="16">
        <f>AVERAGE(B2:B13)</f>
        <v>1.3708333333333336</v>
      </c>
      <c r="C14" s="22"/>
      <c r="D14" s="22"/>
      <c r="E14" s="16"/>
      <c r="F14" s="16"/>
      <c r="G14" s="16"/>
    </row>
    <row r="15" spans="1:7" ht="12.75">
      <c r="A15" s="140" t="s">
        <v>444</v>
      </c>
      <c r="B15" s="16">
        <f>MEDIAN(B2:B13)</f>
        <v>1.3450000000000002</v>
      </c>
      <c r="C15" s="22"/>
      <c r="D15" s="22"/>
      <c r="E15" s="16"/>
      <c r="F15" s="16"/>
      <c r="G15" s="16"/>
    </row>
    <row r="16" spans="1:7" ht="12.75">
      <c r="A16" s="20"/>
      <c r="B16" s="16"/>
      <c r="C16" s="22"/>
      <c r="D16" s="22"/>
      <c r="E16" s="16"/>
      <c r="F16" s="16"/>
      <c r="G16" s="16"/>
    </row>
    <row r="17" spans="1:7" ht="12.75">
      <c r="A17" s="1" t="s">
        <v>76</v>
      </c>
      <c r="B17" s="2">
        <v>1.38</v>
      </c>
      <c r="C17" s="4">
        <v>0.0015</v>
      </c>
      <c r="D17" s="4">
        <v>0.2878</v>
      </c>
      <c r="E17" s="2" t="s">
        <v>431</v>
      </c>
      <c r="F17" s="2">
        <v>58</v>
      </c>
      <c r="G17" s="2">
        <v>1850</v>
      </c>
    </row>
    <row r="18" spans="1:7" ht="12.75">
      <c r="A18" s="1" t="s">
        <v>79</v>
      </c>
      <c r="B18" s="2">
        <v>1.42</v>
      </c>
      <c r="C18" s="4">
        <v>0.0014</v>
      </c>
      <c r="D18" s="4">
        <v>0.2669</v>
      </c>
      <c r="E18" s="2" t="s">
        <v>431</v>
      </c>
      <c r="F18" s="2">
        <v>58</v>
      </c>
      <c r="G18" s="2">
        <v>1170</v>
      </c>
    </row>
    <row r="19" spans="1:7" ht="12.75">
      <c r="A19" s="1" t="s">
        <v>85</v>
      </c>
      <c r="B19" s="2">
        <v>1.47</v>
      </c>
      <c r="C19" s="4">
        <v>0.0014</v>
      </c>
      <c r="D19" s="4">
        <v>0.2414</v>
      </c>
      <c r="E19" s="2" t="s">
        <v>431</v>
      </c>
      <c r="F19" s="2">
        <v>58</v>
      </c>
      <c r="G19" s="2">
        <v>960</v>
      </c>
    </row>
    <row r="20" spans="1:7" ht="12.75">
      <c r="A20" s="20" t="s">
        <v>85</v>
      </c>
      <c r="B20" s="16">
        <v>1.46</v>
      </c>
      <c r="C20" s="22">
        <v>0.0006000000000000001</v>
      </c>
      <c r="D20" s="22">
        <v>0.16879999999999998</v>
      </c>
      <c r="E20" s="16" t="s">
        <v>432</v>
      </c>
      <c r="F20" s="16">
        <v>58</v>
      </c>
      <c r="G20" s="16">
        <v>960</v>
      </c>
    </row>
    <row r="21" spans="1:7" ht="12.75">
      <c r="A21" s="1" t="s">
        <v>90</v>
      </c>
      <c r="B21" s="2">
        <v>1.32</v>
      </c>
      <c r="C21" s="4">
        <v>0.0023</v>
      </c>
      <c r="D21" s="4">
        <v>0.32049999999999995</v>
      </c>
      <c r="E21" s="2" t="s">
        <v>431</v>
      </c>
      <c r="F21" s="2">
        <v>58</v>
      </c>
      <c r="G21" s="2">
        <v>885</v>
      </c>
    </row>
    <row r="22" spans="1:7" ht="12.75">
      <c r="A22" s="20" t="s">
        <v>90</v>
      </c>
      <c r="B22" s="16">
        <v>1.37</v>
      </c>
      <c r="C22" s="22">
        <v>0.0015</v>
      </c>
      <c r="D22" s="22">
        <v>0.2005</v>
      </c>
      <c r="E22" s="16" t="s">
        <v>432</v>
      </c>
      <c r="F22" s="16">
        <v>58</v>
      </c>
      <c r="G22" s="16">
        <v>885</v>
      </c>
    </row>
    <row r="23" spans="1:7" ht="12.75">
      <c r="A23" s="1" t="s">
        <v>111</v>
      </c>
      <c r="B23" s="2">
        <v>1.52</v>
      </c>
      <c r="C23" s="4">
        <v>0.0029000000000000002</v>
      </c>
      <c r="D23" s="4">
        <v>0.2184</v>
      </c>
      <c r="E23" s="2" t="s">
        <v>431</v>
      </c>
      <c r="F23" s="2">
        <v>60</v>
      </c>
      <c r="G23" s="2">
        <v>2000</v>
      </c>
    </row>
    <row r="24" spans="1:7" ht="12.75">
      <c r="A24" s="20" t="s">
        <v>111</v>
      </c>
      <c r="B24" s="16">
        <v>1.56</v>
      </c>
      <c r="C24" s="22">
        <v>-1E-06</v>
      </c>
      <c r="D24" s="22">
        <v>0.1348</v>
      </c>
      <c r="E24" s="16" t="s">
        <v>432</v>
      </c>
      <c r="F24" s="16">
        <v>60</v>
      </c>
      <c r="G24" s="16">
        <v>2000</v>
      </c>
    </row>
    <row r="25" spans="1:7" ht="12.75">
      <c r="A25" s="1" t="s">
        <v>116</v>
      </c>
      <c r="B25" s="2">
        <v>1.27</v>
      </c>
      <c r="C25" s="4">
        <v>0.0028</v>
      </c>
      <c r="D25" s="4">
        <v>0.3483</v>
      </c>
      <c r="E25" s="2" t="s">
        <v>431</v>
      </c>
      <c r="F25" s="2">
        <v>61</v>
      </c>
      <c r="G25" s="2">
        <v>1350</v>
      </c>
    </row>
    <row r="26" spans="1:7" ht="12.75">
      <c r="A26" s="20" t="s">
        <v>116</v>
      </c>
      <c r="B26" s="16">
        <v>1.62</v>
      </c>
      <c r="C26" s="22">
        <v>0.0022</v>
      </c>
      <c r="D26" s="22">
        <v>0.11800000000000001</v>
      </c>
      <c r="E26" s="16" t="s">
        <v>432</v>
      </c>
      <c r="F26" s="16">
        <v>61</v>
      </c>
      <c r="G26" s="16">
        <v>1350</v>
      </c>
    </row>
    <row r="27" spans="1:7" ht="12.75">
      <c r="A27" s="1" t="s">
        <v>119</v>
      </c>
      <c r="B27" s="2">
        <v>1.38</v>
      </c>
      <c r="C27" s="4">
        <v>0.0023</v>
      </c>
      <c r="D27" s="4">
        <v>0.2887</v>
      </c>
      <c r="E27" s="2" t="s">
        <v>431</v>
      </c>
      <c r="F27" s="2">
        <v>60</v>
      </c>
      <c r="G27" s="2">
        <v>1100</v>
      </c>
    </row>
    <row r="28" spans="1:7" ht="12.75">
      <c r="A28" s="1" t="s">
        <v>121</v>
      </c>
      <c r="B28" s="2">
        <v>1.36</v>
      </c>
      <c r="C28" s="4">
        <v>0.0032</v>
      </c>
      <c r="D28" s="4">
        <v>0.3004</v>
      </c>
      <c r="E28" s="2" t="s">
        <v>431</v>
      </c>
      <c r="F28" s="2">
        <v>61</v>
      </c>
      <c r="G28" s="2">
        <v>950</v>
      </c>
    </row>
    <row r="29" spans="1:7" ht="12.75">
      <c r="A29" s="20" t="s">
        <v>121</v>
      </c>
      <c r="B29" s="16">
        <v>1.44</v>
      </c>
      <c r="C29" s="22">
        <v>0.0006000000000000001</v>
      </c>
      <c r="D29" s="22">
        <v>0.17550000000000002</v>
      </c>
      <c r="E29" s="16" t="s">
        <v>432</v>
      </c>
      <c r="F29" s="16">
        <v>61</v>
      </c>
      <c r="G29" s="16">
        <v>950</v>
      </c>
    </row>
    <row r="30" spans="1:7" ht="12.75">
      <c r="A30" s="1" t="s">
        <v>124</v>
      </c>
      <c r="B30" s="2">
        <v>1.49</v>
      </c>
      <c r="C30" s="4">
        <v>0.0028</v>
      </c>
      <c r="D30" s="4">
        <v>0.2332</v>
      </c>
      <c r="E30" s="2" t="s">
        <v>431</v>
      </c>
      <c r="F30" s="2">
        <v>68.8</v>
      </c>
      <c r="G30" s="2">
        <v>1810</v>
      </c>
    </row>
    <row r="31" spans="1:7" ht="12.75">
      <c r="A31" s="1" t="s">
        <v>126</v>
      </c>
      <c r="B31" s="2">
        <v>1.35</v>
      </c>
      <c r="C31" s="4">
        <v>0.0013000000000000002</v>
      </c>
      <c r="D31" s="4">
        <v>0.3032</v>
      </c>
      <c r="E31" s="2" t="s">
        <v>431</v>
      </c>
      <c r="F31" s="2">
        <v>68.8</v>
      </c>
      <c r="G31" s="2">
        <v>1127</v>
      </c>
    </row>
    <row r="32" spans="1:7" ht="12.75">
      <c r="A32" s="1" t="s">
        <v>129</v>
      </c>
      <c r="B32" s="2">
        <v>1.43</v>
      </c>
      <c r="C32" s="4">
        <v>1E-05</v>
      </c>
      <c r="D32" s="4">
        <v>0.2613</v>
      </c>
      <c r="E32" s="2" t="s">
        <v>431</v>
      </c>
      <c r="F32" s="2">
        <v>68.8</v>
      </c>
      <c r="G32" s="2">
        <v>900</v>
      </c>
    </row>
    <row r="33" spans="1:7" ht="12.75">
      <c r="A33" s="20" t="s">
        <v>129</v>
      </c>
      <c r="B33" s="16">
        <v>1.45</v>
      </c>
      <c r="C33" s="22">
        <v>0.0007</v>
      </c>
      <c r="D33" s="22">
        <v>0.0682</v>
      </c>
      <c r="E33" s="16" t="s">
        <v>432</v>
      </c>
      <c r="F33" s="16">
        <v>68.8</v>
      </c>
      <c r="G33" s="16">
        <v>900</v>
      </c>
    </row>
    <row r="34" spans="1:7" ht="12.75">
      <c r="A34" s="1" t="s">
        <v>136</v>
      </c>
      <c r="B34" s="2">
        <v>1.63</v>
      </c>
      <c r="C34" s="4">
        <v>0.0014</v>
      </c>
      <c r="D34" s="4">
        <v>0.1635</v>
      </c>
      <c r="E34" s="2" t="s">
        <v>431</v>
      </c>
      <c r="F34" s="2">
        <v>74</v>
      </c>
      <c r="G34" s="2">
        <v>2300</v>
      </c>
    </row>
    <row r="35" spans="1:7" ht="12.75">
      <c r="A35" s="20" t="s">
        <v>136</v>
      </c>
      <c r="B35" s="16">
        <v>1.55</v>
      </c>
      <c r="C35" s="22">
        <v>0.0005</v>
      </c>
      <c r="D35" s="22">
        <v>0.1388</v>
      </c>
      <c r="E35" s="16" t="s">
        <v>432</v>
      </c>
      <c r="F35" s="16">
        <v>74</v>
      </c>
      <c r="G35" s="16">
        <v>2300</v>
      </c>
    </row>
    <row r="36" spans="1:7" ht="12.75">
      <c r="A36" s="1" t="s">
        <v>140</v>
      </c>
      <c r="B36" s="2">
        <v>1.51</v>
      </c>
      <c r="C36" s="4">
        <v>0.0037</v>
      </c>
      <c r="D36" s="4">
        <v>0.2243</v>
      </c>
      <c r="E36" s="2" t="s">
        <v>431</v>
      </c>
      <c r="F36" s="2">
        <v>74</v>
      </c>
      <c r="G36" s="2">
        <v>1550</v>
      </c>
    </row>
    <row r="37" spans="1:7" ht="12.75">
      <c r="A37" s="20" t="s">
        <v>140</v>
      </c>
      <c r="B37" s="16">
        <v>1.6</v>
      </c>
      <c r="C37" s="22">
        <v>0.0008</v>
      </c>
      <c r="D37" s="22">
        <v>0.1229</v>
      </c>
      <c r="E37" s="16" t="s">
        <v>432</v>
      </c>
      <c r="F37" s="16">
        <v>74</v>
      </c>
      <c r="G37" s="16">
        <v>1550</v>
      </c>
    </row>
    <row r="38" spans="1:7" ht="12.75">
      <c r="A38" s="1" t="s">
        <v>143</v>
      </c>
      <c r="B38" s="2">
        <v>1.41</v>
      </c>
      <c r="C38" s="4">
        <v>0.0029000000000000002</v>
      </c>
      <c r="D38" s="4">
        <v>0.27399999999999997</v>
      </c>
      <c r="E38" s="2" t="s">
        <v>431</v>
      </c>
      <c r="F38" s="2">
        <v>73</v>
      </c>
      <c r="G38" s="2">
        <v>1180</v>
      </c>
    </row>
    <row r="39" spans="1:7" ht="12.75">
      <c r="A39" s="20" t="s">
        <v>143</v>
      </c>
      <c r="B39" s="16">
        <v>1.5</v>
      </c>
      <c r="C39" s="22">
        <v>0.0008</v>
      </c>
      <c r="D39" s="22">
        <v>0.15560000000000002</v>
      </c>
      <c r="E39" s="16" t="s">
        <v>432</v>
      </c>
      <c r="F39" s="16">
        <v>73</v>
      </c>
      <c r="G39" s="16">
        <v>1180</v>
      </c>
    </row>
    <row r="40" spans="1:7" ht="12.75">
      <c r="A40" s="1" t="s">
        <v>147</v>
      </c>
      <c r="B40" s="2">
        <v>1.45</v>
      </c>
      <c r="C40" s="4">
        <v>0.0012000000000000001</v>
      </c>
      <c r="D40" s="4">
        <v>0.25129999999999997</v>
      </c>
      <c r="E40" s="2" t="s">
        <v>431</v>
      </c>
      <c r="F40" s="2">
        <v>72</v>
      </c>
      <c r="G40" s="2">
        <v>960</v>
      </c>
    </row>
    <row r="41" spans="1:7" ht="12.75">
      <c r="A41" s="59" t="s">
        <v>154</v>
      </c>
      <c r="B41" s="60">
        <v>1.5</v>
      </c>
      <c r="C41" s="63">
        <v>0</v>
      </c>
      <c r="D41" s="63">
        <v>0.0616</v>
      </c>
      <c r="E41" s="60" t="s">
        <v>433</v>
      </c>
      <c r="F41" s="60">
        <v>76</v>
      </c>
      <c r="G41" s="60">
        <v>1490</v>
      </c>
    </row>
    <row r="42" spans="1:7" ht="12.75">
      <c r="A42" s="41" t="s">
        <v>154</v>
      </c>
      <c r="B42" s="42">
        <v>1.51</v>
      </c>
      <c r="C42" s="44">
        <v>0.0015</v>
      </c>
      <c r="D42" s="44">
        <v>0.099</v>
      </c>
      <c r="E42" s="128" t="s">
        <v>434</v>
      </c>
      <c r="F42" s="42">
        <v>76</v>
      </c>
      <c r="G42" s="42">
        <v>1490</v>
      </c>
    </row>
    <row r="43" spans="1:7" ht="12.75">
      <c r="A43" s="20" t="s">
        <v>172</v>
      </c>
      <c r="B43" s="16">
        <v>1.66</v>
      </c>
      <c r="C43" s="22">
        <v>0.0001</v>
      </c>
      <c r="D43" s="22">
        <v>0.10279999999999999</v>
      </c>
      <c r="E43" s="16" t="s">
        <v>432</v>
      </c>
      <c r="F43" s="16">
        <v>80.5</v>
      </c>
      <c r="G43" s="16">
        <v>1330</v>
      </c>
    </row>
    <row r="44" spans="1:7" ht="12.75">
      <c r="A44" s="20" t="s">
        <v>174</v>
      </c>
      <c r="B44" s="16">
        <v>1.6</v>
      </c>
      <c r="C44" s="22">
        <v>0.0008</v>
      </c>
      <c r="D44" s="22">
        <v>0.1229</v>
      </c>
      <c r="E44" s="16" t="s">
        <v>432</v>
      </c>
      <c r="F44" s="16">
        <v>80.5</v>
      </c>
      <c r="G44" s="16">
        <v>1130</v>
      </c>
    </row>
    <row r="45" spans="1:7" ht="12.75">
      <c r="A45" s="20" t="s">
        <v>176</v>
      </c>
      <c r="B45" s="16">
        <v>1.52</v>
      </c>
      <c r="C45" s="22">
        <v>0.0008</v>
      </c>
      <c r="D45" s="22">
        <v>0.149</v>
      </c>
      <c r="E45" s="16" t="s">
        <v>432</v>
      </c>
      <c r="F45" s="16">
        <v>80.5</v>
      </c>
      <c r="G45" s="16">
        <v>1000</v>
      </c>
    </row>
    <row r="46" spans="1:7" ht="12.75">
      <c r="A46" s="1" t="s">
        <v>178</v>
      </c>
      <c r="B46" s="2">
        <v>1.54</v>
      </c>
      <c r="C46" s="4">
        <v>0.0021000000000000003</v>
      </c>
      <c r="D46" s="4">
        <v>0.2075</v>
      </c>
      <c r="E46" s="2" t="s">
        <v>431</v>
      </c>
      <c r="F46" s="2">
        <v>88</v>
      </c>
      <c r="G46" s="2">
        <v>1860</v>
      </c>
    </row>
    <row r="47" spans="1:7" ht="12.75">
      <c r="A47" s="20" t="s">
        <v>178</v>
      </c>
      <c r="B47" s="16">
        <v>1.58</v>
      </c>
      <c r="C47" s="22">
        <v>0.0001</v>
      </c>
      <c r="D47" s="22">
        <v>0.1285</v>
      </c>
      <c r="E47" s="16" t="s">
        <v>432</v>
      </c>
      <c r="F47" s="16">
        <v>88</v>
      </c>
      <c r="G47" s="16">
        <v>1860</v>
      </c>
    </row>
    <row r="48" spans="1:7" ht="12.75">
      <c r="A48" s="20" t="s">
        <v>182</v>
      </c>
      <c r="B48" s="16">
        <v>1.65</v>
      </c>
      <c r="C48" s="22">
        <v>0.0027</v>
      </c>
      <c r="D48" s="22">
        <v>0.109</v>
      </c>
      <c r="E48" s="16" t="s">
        <v>432</v>
      </c>
      <c r="F48" s="16">
        <v>88</v>
      </c>
      <c r="G48" s="16">
        <v>1500</v>
      </c>
    </row>
    <row r="49" spans="1:7" ht="12.75">
      <c r="A49" s="20" t="s">
        <v>185</v>
      </c>
      <c r="B49" s="16">
        <v>1.33</v>
      </c>
      <c r="C49" s="22">
        <v>0.0025</v>
      </c>
      <c r="D49" s="22">
        <v>0.21559999999999999</v>
      </c>
      <c r="E49" s="16" t="s">
        <v>432</v>
      </c>
      <c r="F49" s="16">
        <v>88</v>
      </c>
      <c r="G49" s="16">
        <v>1250</v>
      </c>
    </row>
    <row r="50" spans="1:7" ht="12.75">
      <c r="A50" s="20" t="s">
        <v>187</v>
      </c>
      <c r="B50" s="16">
        <v>1.47</v>
      </c>
      <c r="C50" s="22">
        <v>0.0005</v>
      </c>
      <c r="D50" s="22">
        <v>0.16519999999999999</v>
      </c>
      <c r="E50" s="16" t="s">
        <v>432</v>
      </c>
      <c r="F50" s="16">
        <v>88</v>
      </c>
      <c r="G50" s="16">
        <v>940</v>
      </c>
    </row>
    <row r="51" spans="1:7" ht="12.75">
      <c r="A51" s="20" t="s">
        <v>189</v>
      </c>
      <c r="B51" s="16">
        <v>1.61</v>
      </c>
      <c r="C51" s="22">
        <v>0.0026000000000000003</v>
      </c>
      <c r="D51" s="22">
        <v>0.1216</v>
      </c>
      <c r="E51" s="16" t="s">
        <v>432</v>
      </c>
      <c r="F51" s="16">
        <v>95</v>
      </c>
      <c r="G51" s="16">
        <v>1220</v>
      </c>
    </row>
    <row r="52" spans="1:7" ht="12.75">
      <c r="A52" s="20" t="s">
        <v>191</v>
      </c>
      <c r="B52" s="16">
        <v>1.65</v>
      </c>
      <c r="C52" s="22">
        <v>0.0018000000000000002</v>
      </c>
      <c r="D52" s="22">
        <v>0.1079</v>
      </c>
      <c r="E52" s="22" t="s">
        <v>432</v>
      </c>
      <c r="F52" s="16">
        <v>95</v>
      </c>
      <c r="G52" s="16">
        <v>1090</v>
      </c>
    </row>
    <row r="53" spans="1:7" ht="12.75">
      <c r="A53" s="140" t="s">
        <v>443</v>
      </c>
      <c r="B53" s="16">
        <f>AVERAGE(B17:B52)</f>
        <v>1.4877777777777776</v>
      </c>
      <c r="C53" s="22"/>
      <c r="D53" s="22"/>
      <c r="E53" s="22"/>
      <c r="F53" s="16"/>
      <c r="G53" s="16"/>
    </row>
    <row r="54" spans="1:7" ht="12.75">
      <c r="A54" s="140" t="s">
        <v>444</v>
      </c>
      <c r="B54" s="16">
        <f>MEDIAN(B17:B52)</f>
        <v>1.495</v>
      </c>
      <c r="C54" s="22"/>
      <c r="D54" s="22"/>
      <c r="E54" s="22"/>
      <c r="F54" s="16"/>
      <c r="G54" s="16"/>
    </row>
    <row r="55" spans="1:7" ht="12.75">
      <c r="A55" s="20"/>
      <c r="B55" s="16"/>
      <c r="C55" s="22"/>
      <c r="D55" s="22"/>
      <c r="E55" s="22"/>
      <c r="F55" s="16"/>
      <c r="G55" s="16"/>
    </row>
    <row r="56" spans="1:7" ht="12.75">
      <c r="A56" s="49" t="s">
        <v>195</v>
      </c>
      <c r="B56" s="50">
        <v>1.3</v>
      </c>
      <c r="C56" s="53">
        <v>0.0023</v>
      </c>
      <c r="D56" s="53">
        <v>0.1048</v>
      </c>
      <c r="E56" s="50" t="s">
        <v>435</v>
      </c>
      <c r="F56" s="50">
        <v>106</v>
      </c>
      <c r="G56" s="50">
        <v>1640</v>
      </c>
    </row>
    <row r="57" spans="1:7" ht="12.75">
      <c r="A57" s="59" t="s">
        <v>195</v>
      </c>
      <c r="B57" s="60">
        <v>1.2</v>
      </c>
      <c r="C57" s="63">
        <v>0.0079</v>
      </c>
      <c r="D57" s="63">
        <v>0.11</v>
      </c>
      <c r="E57" s="60" t="s">
        <v>433</v>
      </c>
      <c r="F57" s="60">
        <v>106</v>
      </c>
      <c r="G57" s="60">
        <v>1640</v>
      </c>
    </row>
    <row r="58" spans="1:7" ht="12.75">
      <c r="A58" s="59" t="s">
        <v>566</v>
      </c>
      <c r="B58" s="60"/>
      <c r="C58" s="63"/>
      <c r="D58" s="63"/>
      <c r="E58" s="60"/>
      <c r="F58" s="60"/>
      <c r="G58" s="60"/>
    </row>
    <row r="59" spans="1:7" ht="12.75">
      <c r="A59" s="59"/>
      <c r="B59" s="60"/>
      <c r="C59" s="63"/>
      <c r="D59" s="63"/>
      <c r="E59" s="60"/>
      <c r="F59" s="60"/>
      <c r="G59" s="60"/>
    </row>
    <row r="60" spans="1:7" ht="12.75">
      <c r="A60" s="129" t="s">
        <v>211</v>
      </c>
      <c r="B60" s="130">
        <v>1.86</v>
      </c>
      <c r="C60" s="131">
        <v>0.0024000000000000002</v>
      </c>
      <c r="D60" s="131">
        <v>0.0435</v>
      </c>
      <c r="E60" s="131" t="s">
        <v>432</v>
      </c>
      <c r="F60" s="16">
        <v>109</v>
      </c>
      <c r="G60" s="16">
        <v>1700</v>
      </c>
    </row>
    <row r="61" spans="1:7" ht="12.75">
      <c r="A61" s="129" t="s">
        <v>214</v>
      </c>
      <c r="B61" s="130">
        <v>1.8</v>
      </c>
      <c r="C61" s="131">
        <v>0.0031000000000000003</v>
      </c>
      <c r="D61" s="131">
        <v>0.0625</v>
      </c>
      <c r="E61" s="131" t="s">
        <v>432</v>
      </c>
      <c r="F61" s="16">
        <v>109</v>
      </c>
      <c r="G61" s="16">
        <v>1390</v>
      </c>
    </row>
    <row r="62" spans="1:7" ht="12.75">
      <c r="A62" s="129" t="s">
        <v>216</v>
      </c>
      <c r="B62" s="130">
        <v>1.7000000000000002</v>
      </c>
      <c r="C62" s="131">
        <v>0.00030000000000000003</v>
      </c>
      <c r="D62" s="131">
        <v>0.09050000000000001</v>
      </c>
      <c r="E62" s="131" t="s">
        <v>432</v>
      </c>
      <c r="F62" s="16">
        <v>109</v>
      </c>
      <c r="G62" s="16">
        <v>1050</v>
      </c>
    </row>
    <row r="63" spans="1:7" ht="12.75">
      <c r="A63" s="132" t="s">
        <v>216</v>
      </c>
      <c r="B63" s="133">
        <v>1.81</v>
      </c>
      <c r="C63" s="134">
        <v>0</v>
      </c>
      <c r="D63" s="134">
        <v>0.0433</v>
      </c>
      <c r="E63" s="133" t="s">
        <v>436</v>
      </c>
      <c r="F63" s="133">
        <v>109</v>
      </c>
      <c r="G63" s="133">
        <v>1050</v>
      </c>
    </row>
    <row r="64" spans="1:7" ht="12.75">
      <c r="A64" s="20" t="s">
        <v>220</v>
      </c>
      <c r="B64" s="16">
        <v>1.58</v>
      </c>
      <c r="C64" s="22">
        <v>0.0015</v>
      </c>
      <c r="D64" s="22">
        <v>0.1301</v>
      </c>
      <c r="E64" s="22" t="s">
        <v>432</v>
      </c>
      <c r="F64" s="16">
        <v>109</v>
      </c>
      <c r="G64" s="16">
        <v>850</v>
      </c>
    </row>
    <row r="65" spans="1:7" ht="12.75">
      <c r="A65" s="69" t="s">
        <v>220</v>
      </c>
      <c r="B65" s="133">
        <v>1.72</v>
      </c>
      <c r="C65" s="134">
        <v>0.0005</v>
      </c>
      <c r="D65" s="134">
        <v>0.065</v>
      </c>
      <c r="E65" s="133" t="s">
        <v>436</v>
      </c>
      <c r="F65" s="133">
        <v>109</v>
      </c>
      <c r="G65" s="133">
        <v>850</v>
      </c>
    </row>
    <row r="66" spans="1:7" ht="12.75">
      <c r="A66" s="20" t="s">
        <v>223</v>
      </c>
      <c r="B66" s="16">
        <v>1.82</v>
      </c>
      <c r="C66" s="22">
        <v>0.0024000000000000002</v>
      </c>
      <c r="D66" s="22">
        <v>0.0557</v>
      </c>
      <c r="E66" s="22" t="s">
        <v>432</v>
      </c>
      <c r="F66" s="16">
        <v>129</v>
      </c>
      <c r="G66" s="16">
        <v>1220</v>
      </c>
    </row>
    <row r="67" spans="1:7" ht="12.75">
      <c r="A67" s="20" t="s">
        <v>226</v>
      </c>
      <c r="B67" s="16">
        <v>1.81</v>
      </c>
      <c r="C67" s="22">
        <v>0.0013000000000000002</v>
      </c>
      <c r="D67" s="22">
        <v>0.0576</v>
      </c>
      <c r="E67" s="22" t="s">
        <v>432</v>
      </c>
      <c r="F67" s="16">
        <v>129</v>
      </c>
      <c r="G67" s="16">
        <v>1040</v>
      </c>
    </row>
    <row r="68" spans="1:7" ht="12.75">
      <c r="A68" s="20" t="s">
        <v>227</v>
      </c>
      <c r="B68" s="16">
        <v>1.82</v>
      </c>
      <c r="C68" s="22">
        <v>0.0019</v>
      </c>
      <c r="D68" s="22">
        <v>0.055099999999999996</v>
      </c>
      <c r="E68" s="22" t="s">
        <v>432</v>
      </c>
      <c r="F68" s="16">
        <v>129</v>
      </c>
      <c r="G68" s="16">
        <v>830</v>
      </c>
    </row>
    <row r="69" spans="1:7" ht="12.75">
      <c r="A69" s="20" t="s">
        <v>229</v>
      </c>
      <c r="B69" s="16">
        <v>1.78</v>
      </c>
      <c r="C69" s="22">
        <v>0.0019</v>
      </c>
      <c r="D69" s="22">
        <v>-0.0392</v>
      </c>
      <c r="E69" s="22" t="s">
        <v>432</v>
      </c>
      <c r="F69" s="16">
        <v>139</v>
      </c>
      <c r="G69" s="16">
        <v>1450</v>
      </c>
    </row>
    <row r="70" spans="1:7" ht="12.75">
      <c r="A70" s="69" t="s">
        <v>229</v>
      </c>
      <c r="B70" s="133">
        <v>1.96</v>
      </c>
      <c r="C70" s="134">
        <v>0.0015</v>
      </c>
      <c r="D70" s="134">
        <v>0.0105</v>
      </c>
      <c r="E70" s="133" t="s">
        <v>436</v>
      </c>
      <c r="F70" s="133">
        <v>139</v>
      </c>
      <c r="G70" s="133">
        <v>1450</v>
      </c>
    </row>
    <row r="71" spans="1:7" ht="12.75">
      <c r="A71" s="20" t="s">
        <v>233</v>
      </c>
      <c r="B71" s="16">
        <v>1.79</v>
      </c>
      <c r="C71" s="22">
        <v>0.0005</v>
      </c>
      <c r="D71" s="22">
        <v>0.06280000000000001</v>
      </c>
      <c r="E71" s="22" t="s">
        <v>432</v>
      </c>
      <c r="F71" s="16">
        <v>142</v>
      </c>
      <c r="G71" s="16">
        <v>1170</v>
      </c>
    </row>
    <row r="72" spans="1:7" ht="12.75">
      <c r="A72" s="69" t="s">
        <v>233</v>
      </c>
      <c r="B72" s="133">
        <v>1.82</v>
      </c>
      <c r="C72" s="134">
        <v>0.0005</v>
      </c>
      <c r="D72" s="134">
        <v>0.0415</v>
      </c>
      <c r="E72" s="133" t="s">
        <v>436</v>
      </c>
      <c r="F72" s="133">
        <v>142</v>
      </c>
      <c r="G72" s="133">
        <v>1170</v>
      </c>
    </row>
    <row r="73" spans="1:7" ht="12.75">
      <c r="A73" s="20" t="s">
        <v>236</v>
      </c>
      <c r="B73" s="16">
        <v>1.65</v>
      </c>
      <c r="C73" s="22">
        <v>0.002</v>
      </c>
      <c r="D73" s="22">
        <v>0.1082</v>
      </c>
      <c r="E73" s="22" t="s">
        <v>432</v>
      </c>
      <c r="F73" s="16">
        <v>138</v>
      </c>
      <c r="G73" s="16">
        <v>970</v>
      </c>
    </row>
    <row r="74" spans="1:7" ht="12.75">
      <c r="A74" s="69" t="s">
        <v>236</v>
      </c>
      <c r="B74" s="133">
        <v>1.83</v>
      </c>
      <c r="C74" s="134">
        <v>0.00030000000000000003</v>
      </c>
      <c r="D74" s="134">
        <v>0.039</v>
      </c>
      <c r="E74" s="133" t="s">
        <v>436</v>
      </c>
      <c r="F74" s="133">
        <v>138</v>
      </c>
      <c r="G74" s="133">
        <v>970</v>
      </c>
    </row>
    <row r="75" spans="1:7" ht="12.75">
      <c r="A75" s="20" t="s">
        <v>240</v>
      </c>
      <c r="B75" s="16">
        <v>1.59</v>
      </c>
      <c r="C75" s="22">
        <v>0.0027</v>
      </c>
      <c r="D75" s="22">
        <v>0.1282</v>
      </c>
      <c r="E75" s="22" t="s">
        <v>432</v>
      </c>
      <c r="F75" s="16">
        <v>140</v>
      </c>
      <c r="G75" s="16">
        <v>840</v>
      </c>
    </row>
    <row r="76" spans="1:7" ht="12.75">
      <c r="A76" s="69" t="s">
        <v>240</v>
      </c>
      <c r="B76" s="133">
        <v>1.73</v>
      </c>
      <c r="C76" s="134">
        <v>0.0014</v>
      </c>
      <c r="D76" s="134">
        <v>0.0636</v>
      </c>
      <c r="E76" s="133" t="s">
        <v>436</v>
      </c>
      <c r="F76" s="133">
        <v>140</v>
      </c>
      <c r="G76" s="133">
        <v>840</v>
      </c>
    </row>
    <row r="77" spans="1:7" ht="12.75">
      <c r="A77" s="79" t="s">
        <v>240</v>
      </c>
      <c r="B77" s="80">
        <v>1.88</v>
      </c>
      <c r="C77" s="82">
        <v>0.0009000000000000001</v>
      </c>
      <c r="D77" s="82">
        <v>0.0231</v>
      </c>
      <c r="E77" s="80" t="s">
        <v>437</v>
      </c>
      <c r="F77" s="80">
        <v>140</v>
      </c>
      <c r="G77" s="80">
        <v>840</v>
      </c>
    </row>
    <row r="78" spans="1:7" ht="12.75">
      <c r="A78" s="20" t="s">
        <v>248</v>
      </c>
      <c r="B78" s="16">
        <v>1.6</v>
      </c>
      <c r="C78" s="22">
        <v>0.0001</v>
      </c>
      <c r="D78" s="22">
        <v>0.12210000000000001</v>
      </c>
      <c r="E78" s="22" t="s">
        <v>432</v>
      </c>
      <c r="F78" s="16">
        <v>141</v>
      </c>
      <c r="G78" s="16">
        <v>1200</v>
      </c>
    </row>
    <row r="79" spans="1:7" ht="12.75">
      <c r="A79" s="69" t="s">
        <v>248</v>
      </c>
      <c r="B79" s="133">
        <v>1.67</v>
      </c>
      <c r="C79" s="134">
        <v>0.0009000000000000001</v>
      </c>
      <c r="D79" s="134">
        <v>0.0774</v>
      </c>
      <c r="E79" s="133" t="s">
        <v>436</v>
      </c>
      <c r="F79" s="133">
        <v>141</v>
      </c>
      <c r="G79" s="133">
        <v>1200</v>
      </c>
    </row>
    <row r="80" spans="1:7" ht="12.75">
      <c r="A80" s="20" t="s">
        <v>252</v>
      </c>
      <c r="B80" s="16">
        <v>1.53</v>
      </c>
      <c r="C80" s="22">
        <v>0.0007</v>
      </c>
      <c r="D80" s="22">
        <v>0.14550000000000002</v>
      </c>
      <c r="E80" s="22" t="s">
        <v>432</v>
      </c>
      <c r="F80" s="16">
        <v>141</v>
      </c>
      <c r="G80" s="16">
        <v>1000</v>
      </c>
    </row>
    <row r="81" spans="1:7" ht="12.75">
      <c r="A81" s="69" t="s">
        <v>252</v>
      </c>
      <c r="B81" s="133">
        <v>1.63</v>
      </c>
      <c r="C81" s="134">
        <v>0.001</v>
      </c>
      <c r="D81" s="134">
        <v>0.0872</v>
      </c>
      <c r="E81" s="133" t="s">
        <v>436</v>
      </c>
      <c r="F81" s="133">
        <v>141</v>
      </c>
      <c r="G81" s="133">
        <v>1000</v>
      </c>
    </row>
    <row r="82" spans="1:7" ht="12.75">
      <c r="A82" s="20" t="s">
        <v>255</v>
      </c>
      <c r="B82" s="16">
        <v>1.51</v>
      </c>
      <c r="C82" s="22">
        <v>0.0015</v>
      </c>
      <c r="D82" s="22">
        <v>0.1531</v>
      </c>
      <c r="E82" s="22" t="s">
        <v>432</v>
      </c>
      <c r="F82" s="16">
        <v>141</v>
      </c>
      <c r="G82" s="16">
        <v>820</v>
      </c>
    </row>
    <row r="83" spans="1:7" ht="12.75">
      <c r="A83" s="69" t="s">
        <v>255</v>
      </c>
      <c r="B83" s="133">
        <v>1.58</v>
      </c>
      <c r="C83" s="134">
        <v>0.0001</v>
      </c>
      <c r="D83" s="134">
        <v>0.0984</v>
      </c>
      <c r="E83" s="133" t="s">
        <v>436</v>
      </c>
      <c r="F83" s="133">
        <v>141</v>
      </c>
      <c r="G83" s="133">
        <v>820</v>
      </c>
    </row>
    <row r="84" spans="1:7" ht="12.75">
      <c r="A84" s="142" t="s">
        <v>443</v>
      </c>
      <c r="B84" s="133">
        <f>AVERAGE(B60:B83)</f>
        <v>1.7279166666666665</v>
      </c>
      <c r="C84" s="134"/>
      <c r="D84" s="134"/>
      <c r="E84" s="133"/>
      <c r="F84" s="133"/>
      <c r="G84" s="133"/>
    </row>
    <row r="85" spans="1:7" ht="12.75">
      <c r="A85" s="142" t="s">
        <v>444</v>
      </c>
      <c r="B85" s="133">
        <f>MEDIAN(B60:B83)</f>
        <v>1.755</v>
      </c>
      <c r="C85" s="134"/>
      <c r="D85" s="134"/>
      <c r="E85" s="133"/>
      <c r="F85" s="133"/>
      <c r="G85" s="133"/>
    </row>
    <row r="86" spans="1:7" ht="12.75">
      <c r="A86" s="69"/>
      <c r="B86" s="133"/>
      <c r="C86" s="134"/>
      <c r="D86" s="134"/>
      <c r="E86" s="133"/>
      <c r="F86" s="133"/>
      <c r="G86" s="133"/>
    </row>
    <row r="87" spans="1:7" ht="12.75">
      <c r="A87" s="59" t="s">
        <v>260</v>
      </c>
      <c r="B87" s="60">
        <v>1.51</v>
      </c>
      <c r="C87" s="63">
        <v>0.0008</v>
      </c>
      <c r="D87" s="63">
        <v>0.06849999999999999</v>
      </c>
      <c r="E87" s="60" t="s">
        <v>433</v>
      </c>
      <c r="F87" s="60">
        <v>151</v>
      </c>
      <c r="G87" s="60">
        <v>1200</v>
      </c>
    </row>
    <row r="88" spans="1:7" ht="12.75">
      <c r="A88" s="41" t="s">
        <v>260</v>
      </c>
      <c r="B88" s="42">
        <v>1.2</v>
      </c>
      <c r="C88" s="44">
        <v>0.0005</v>
      </c>
      <c r="D88" s="44">
        <v>0.1961</v>
      </c>
      <c r="E88" s="128" t="s">
        <v>434</v>
      </c>
      <c r="F88" s="42">
        <v>151</v>
      </c>
      <c r="G88" s="42">
        <v>1200</v>
      </c>
    </row>
    <row r="89" spans="1:7" ht="12.75">
      <c r="A89" s="59" t="s">
        <v>567</v>
      </c>
      <c r="B89" s="42"/>
      <c r="C89" s="44"/>
      <c r="D89" s="44"/>
      <c r="E89" s="128"/>
      <c r="F89" s="42"/>
      <c r="G89" s="42"/>
    </row>
    <row r="90" spans="1:7" ht="12.75">
      <c r="A90" s="41"/>
      <c r="B90" s="42"/>
      <c r="C90" s="44"/>
      <c r="D90" s="44"/>
      <c r="E90" s="128"/>
      <c r="F90" s="42"/>
      <c r="G90" s="42"/>
    </row>
    <row r="91" spans="1:7" ht="12.75">
      <c r="A91" s="20" t="s">
        <v>269</v>
      </c>
      <c r="B91" s="16">
        <v>1.85</v>
      </c>
      <c r="C91" s="22">
        <v>0.0028</v>
      </c>
      <c r="D91" s="22">
        <v>0.047</v>
      </c>
      <c r="E91" s="22" t="s">
        <v>432</v>
      </c>
      <c r="F91" s="16">
        <v>166</v>
      </c>
      <c r="G91" s="16">
        <v>1110</v>
      </c>
    </row>
    <row r="92" spans="1:7" ht="12.75">
      <c r="A92" s="20" t="s">
        <v>271</v>
      </c>
      <c r="B92" s="16">
        <v>1.62</v>
      </c>
      <c r="C92" s="22">
        <v>0.00030000000000000003</v>
      </c>
      <c r="D92" s="22">
        <v>0.1158</v>
      </c>
      <c r="E92" s="22" t="s">
        <v>432</v>
      </c>
      <c r="F92" s="16">
        <v>166</v>
      </c>
      <c r="G92" s="16">
        <v>890</v>
      </c>
    </row>
    <row r="93" spans="1:7" ht="12.75">
      <c r="A93" s="69" t="s">
        <v>271</v>
      </c>
      <c r="B93" s="133">
        <v>1.82</v>
      </c>
      <c r="C93" s="134">
        <v>0.0013000000000000002</v>
      </c>
      <c r="D93" s="134">
        <v>0.0424</v>
      </c>
      <c r="E93" s="133" t="s">
        <v>436</v>
      </c>
      <c r="F93" s="133">
        <v>166</v>
      </c>
      <c r="G93" s="133">
        <v>890</v>
      </c>
    </row>
    <row r="94" spans="1:7" ht="12.75">
      <c r="A94" s="20" t="s">
        <v>272</v>
      </c>
      <c r="B94" s="16">
        <v>1.79</v>
      </c>
      <c r="C94" s="22">
        <v>0.0011</v>
      </c>
      <c r="D94" s="22">
        <v>0.0635</v>
      </c>
      <c r="E94" s="22" t="s">
        <v>432</v>
      </c>
      <c r="F94" s="16">
        <v>166</v>
      </c>
      <c r="G94" s="16">
        <v>780</v>
      </c>
    </row>
    <row r="95" spans="1:7" ht="12.75">
      <c r="A95" s="69" t="s">
        <v>272</v>
      </c>
      <c r="B95" s="133">
        <v>1.84</v>
      </c>
      <c r="C95" s="134">
        <v>0.0014</v>
      </c>
      <c r="D95" s="134">
        <v>0.0378</v>
      </c>
      <c r="E95" s="133" t="s">
        <v>436</v>
      </c>
      <c r="F95" s="133">
        <v>166</v>
      </c>
      <c r="G95" s="133">
        <v>780</v>
      </c>
    </row>
    <row r="96" spans="1:7" ht="12.75">
      <c r="A96" s="20" t="s">
        <v>274</v>
      </c>
      <c r="B96" s="16">
        <v>1.85</v>
      </c>
      <c r="C96" s="22">
        <v>0.0007</v>
      </c>
      <c r="D96" s="22">
        <v>0.044800000000000006</v>
      </c>
      <c r="E96" s="22" t="s">
        <v>432</v>
      </c>
      <c r="F96" s="16">
        <v>171</v>
      </c>
      <c r="G96" s="16">
        <v>1470</v>
      </c>
    </row>
    <row r="97" spans="1:7" ht="12.75">
      <c r="A97" s="20" t="s">
        <v>277</v>
      </c>
      <c r="B97" s="16">
        <v>1.78</v>
      </c>
      <c r="C97" s="22">
        <v>0.0008</v>
      </c>
      <c r="D97" s="22">
        <v>0.0662</v>
      </c>
      <c r="E97" s="22" t="s">
        <v>432</v>
      </c>
      <c r="F97" s="16">
        <v>171</v>
      </c>
      <c r="G97" s="16">
        <v>1130</v>
      </c>
    </row>
    <row r="98" spans="1:7" ht="12.75">
      <c r="A98" s="69" t="s">
        <v>277</v>
      </c>
      <c r="B98" s="133">
        <v>1.9</v>
      </c>
      <c r="C98" s="134">
        <v>0.0008</v>
      </c>
      <c r="D98" s="134">
        <v>0.023399999999999997</v>
      </c>
      <c r="E98" s="133" t="s">
        <v>436</v>
      </c>
      <c r="F98" s="133">
        <v>171</v>
      </c>
      <c r="G98" s="133">
        <v>1130</v>
      </c>
    </row>
    <row r="99" spans="1:7" ht="12.75">
      <c r="A99" s="20" t="s">
        <v>279</v>
      </c>
      <c r="B99" s="16">
        <v>1.66</v>
      </c>
      <c r="C99" s="22">
        <v>0.0026000000000000003</v>
      </c>
      <c r="D99" s="22">
        <v>0.1056</v>
      </c>
      <c r="E99" s="22" t="s">
        <v>432</v>
      </c>
      <c r="F99" s="16">
        <v>171</v>
      </c>
      <c r="G99" s="16">
        <v>930</v>
      </c>
    </row>
    <row r="100" spans="1:7" ht="12.75">
      <c r="A100" s="69" t="s">
        <v>279</v>
      </c>
      <c r="B100" s="133">
        <v>1.6800000000000002</v>
      </c>
      <c r="C100" s="134">
        <v>0.00030000000000000003</v>
      </c>
      <c r="D100" s="134">
        <v>0.07440000000000001</v>
      </c>
      <c r="E100" s="133" t="s">
        <v>436</v>
      </c>
      <c r="F100" s="133">
        <v>171</v>
      </c>
      <c r="G100" s="133">
        <v>930</v>
      </c>
    </row>
    <row r="101" spans="1:7" ht="12.75">
      <c r="A101" s="79" t="s">
        <v>279</v>
      </c>
      <c r="B101" s="80">
        <v>1.83</v>
      </c>
      <c r="C101" s="82">
        <v>0.0007</v>
      </c>
      <c r="D101" s="82">
        <v>0.0322</v>
      </c>
      <c r="E101" s="80" t="s">
        <v>437</v>
      </c>
      <c r="F101" s="80">
        <v>171</v>
      </c>
      <c r="G101" s="80">
        <v>930</v>
      </c>
    </row>
    <row r="102" spans="1:7" ht="12.75">
      <c r="A102" s="20" t="s">
        <v>282</v>
      </c>
      <c r="B102" s="16">
        <v>1.6</v>
      </c>
      <c r="C102" s="22">
        <v>0.00030000000000000003</v>
      </c>
      <c r="D102" s="22">
        <v>0.1223</v>
      </c>
      <c r="E102" s="22" t="s">
        <v>432</v>
      </c>
      <c r="F102" s="16">
        <v>171</v>
      </c>
      <c r="G102" s="16">
        <v>760</v>
      </c>
    </row>
    <row r="103" spans="1:7" ht="12.75">
      <c r="A103" s="69" t="s">
        <v>282</v>
      </c>
      <c r="B103" s="133">
        <v>1.69</v>
      </c>
      <c r="C103" s="134">
        <v>0.0018000000000000002</v>
      </c>
      <c r="D103" s="134">
        <v>0.0736</v>
      </c>
      <c r="E103" s="133" t="s">
        <v>436</v>
      </c>
      <c r="F103" s="133">
        <v>171</v>
      </c>
      <c r="G103" s="133">
        <v>760</v>
      </c>
    </row>
    <row r="104" spans="1:7" ht="12.75">
      <c r="A104" s="79" t="s">
        <v>282</v>
      </c>
      <c r="B104" s="80">
        <v>1.79</v>
      </c>
      <c r="C104" s="82">
        <v>0.0017000000000000001</v>
      </c>
      <c r="D104" s="82">
        <v>0.0408</v>
      </c>
      <c r="E104" s="80" t="s">
        <v>437</v>
      </c>
      <c r="F104" s="80">
        <v>171</v>
      </c>
      <c r="G104" s="80">
        <v>760</v>
      </c>
    </row>
    <row r="105" spans="1:7" ht="12.75">
      <c r="A105" s="20" t="s">
        <v>295</v>
      </c>
      <c r="B105" s="16">
        <v>1.56</v>
      </c>
      <c r="C105" s="22">
        <v>0.0016</v>
      </c>
      <c r="D105" s="22">
        <v>0.1367</v>
      </c>
      <c r="E105" s="22" t="s">
        <v>432</v>
      </c>
      <c r="F105" s="16">
        <v>178</v>
      </c>
      <c r="G105" s="16">
        <v>1100</v>
      </c>
    </row>
    <row r="106" spans="1:7" ht="12.75">
      <c r="A106" s="69" t="s">
        <v>295</v>
      </c>
      <c r="B106" s="133">
        <v>1.62</v>
      </c>
      <c r="C106" s="134">
        <v>0.0007</v>
      </c>
      <c r="D106" s="134">
        <v>0.08929999999999999</v>
      </c>
      <c r="E106" s="133" t="s">
        <v>436</v>
      </c>
      <c r="F106" s="133">
        <v>178</v>
      </c>
      <c r="G106" s="133">
        <v>1100</v>
      </c>
    </row>
    <row r="107" spans="1:7" ht="12.75">
      <c r="A107" s="20" t="s">
        <v>296</v>
      </c>
      <c r="B107" s="16">
        <v>1.53</v>
      </c>
      <c r="C107" s="22">
        <v>0.0012000000000000001</v>
      </c>
      <c r="D107" s="22">
        <v>0.1462</v>
      </c>
      <c r="E107" s="22" t="s">
        <v>432</v>
      </c>
      <c r="F107" s="16">
        <v>178</v>
      </c>
      <c r="G107" s="16">
        <v>950</v>
      </c>
    </row>
    <row r="108" spans="1:7" ht="12.75">
      <c r="A108" s="69" t="s">
        <v>296</v>
      </c>
      <c r="B108" s="133">
        <v>1.62</v>
      </c>
      <c r="C108" s="134">
        <v>0.0007</v>
      </c>
      <c r="D108" s="134">
        <v>0.0892</v>
      </c>
      <c r="E108" s="133" t="s">
        <v>436</v>
      </c>
      <c r="F108" s="133">
        <v>178</v>
      </c>
      <c r="G108" s="133">
        <v>950</v>
      </c>
    </row>
    <row r="109" spans="1:7" ht="12.75">
      <c r="A109" s="79" t="s">
        <v>296</v>
      </c>
      <c r="B109" s="80">
        <v>1.7000000000000002</v>
      </c>
      <c r="C109" s="82">
        <v>0.0004</v>
      </c>
      <c r="D109" s="82">
        <v>0.0567</v>
      </c>
      <c r="E109" s="80" t="s">
        <v>437</v>
      </c>
      <c r="F109" s="80">
        <v>178</v>
      </c>
      <c r="G109" s="80">
        <v>950</v>
      </c>
    </row>
    <row r="110" spans="1:7" ht="12.75">
      <c r="A110" s="20" t="s">
        <v>298</v>
      </c>
      <c r="B110" s="16">
        <v>1.51</v>
      </c>
      <c r="C110" s="22">
        <v>0.0007</v>
      </c>
      <c r="D110" s="22">
        <v>0.1522</v>
      </c>
      <c r="E110" s="22" t="s">
        <v>432</v>
      </c>
      <c r="F110" s="16">
        <v>178</v>
      </c>
      <c r="G110" s="16">
        <v>740</v>
      </c>
    </row>
    <row r="111" spans="1:7" ht="12.75">
      <c r="A111" s="69" t="s">
        <v>298</v>
      </c>
      <c r="B111" s="133">
        <v>1.55</v>
      </c>
      <c r="C111" s="134">
        <v>0.002</v>
      </c>
      <c r="D111" s="134">
        <v>0.10779999999999999</v>
      </c>
      <c r="E111" s="133" t="s">
        <v>436</v>
      </c>
      <c r="F111" s="133">
        <v>178</v>
      </c>
      <c r="G111" s="133">
        <v>740</v>
      </c>
    </row>
    <row r="112" spans="1:7" ht="12.75">
      <c r="A112" s="79" t="s">
        <v>298</v>
      </c>
      <c r="B112" s="80">
        <v>1.63</v>
      </c>
      <c r="C112" s="82">
        <v>0.0011</v>
      </c>
      <c r="D112" s="82">
        <v>0.079</v>
      </c>
      <c r="E112" s="80" t="s">
        <v>437</v>
      </c>
      <c r="F112" s="80">
        <v>178</v>
      </c>
      <c r="G112" s="80">
        <v>740</v>
      </c>
    </row>
    <row r="113" spans="1:7" ht="12.75">
      <c r="A113" s="144" t="s">
        <v>443</v>
      </c>
      <c r="B113" s="80">
        <f>AVERAGE(B91:B112)</f>
        <v>1.700909090909091</v>
      </c>
      <c r="C113" s="82"/>
      <c r="D113" s="82"/>
      <c r="E113" s="80"/>
      <c r="F113" s="80"/>
      <c r="G113" s="80"/>
    </row>
    <row r="114" spans="1:7" ht="12.75">
      <c r="A114" s="144" t="s">
        <v>444</v>
      </c>
      <c r="B114" s="80">
        <f>MEDIAN(B91:B112)</f>
        <v>1.685</v>
      </c>
      <c r="C114" s="82"/>
      <c r="D114" s="82"/>
      <c r="E114" s="80"/>
      <c r="F114" s="80"/>
      <c r="G114" s="80"/>
    </row>
    <row r="115" spans="1:7" ht="12.75">
      <c r="A115" s="79"/>
      <c r="B115" s="80"/>
      <c r="C115" s="82"/>
      <c r="D115" s="82"/>
      <c r="E115" s="80"/>
      <c r="F115" s="80"/>
      <c r="G115" s="80"/>
    </row>
    <row r="116" spans="1:7" ht="12.75">
      <c r="A116" s="20" t="s">
        <v>304</v>
      </c>
      <c r="B116" s="16">
        <v>1.78</v>
      </c>
      <c r="C116" s="22">
        <v>0.002</v>
      </c>
      <c r="D116" s="22">
        <v>0.0674</v>
      </c>
      <c r="E116" s="22" t="s">
        <v>432</v>
      </c>
      <c r="F116" s="16">
        <v>205</v>
      </c>
      <c r="G116" s="16">
        <v>890</v>
      </c>
    </row>
    <row r="117" spans="1:7" ht="12.75">
      <c r="A117" s="20" t="s">
        <v>307</v>
      </c>
      <c r="B117" s="16">
        <v>1.67</v>
      </c>
      <c r="C117" s="22">
        <v>0.0022</v>
      </c>
      <c r="D117" s="22">
        <v>0.102</v>
      </c>
      <c r="E117" s="22" t="s">
        <v>432</v>
      </c>
      <c r="F117" s="16">
        <v>205</v>
      </c>
      <c r="G117" s="16">
        <v>710</v>
      </c>
    </row>
    <row r="118" spans="1:7" ht="12.75">
      <c r="A118" s="69" t="s">
        <v>307</v>
      </c>
      <c r="B118" s="133">
        <v>1.81</v>
      </c>
      <c r="C118" s="134">
        <v>0.002</v>
      </c>
      <c r="D118" s="134">
        <v>0.0454</v>
      </c>
      <c r="E118" s="133" t="s">
        <v>436</v>
      </c>
      <c r="F118" s="133">
        <v>205</v>
      </c>
      <c r="G118" s="133">
        <v>710</v>
      </c>
    </row>
    <row r="119" spans="1:7" ht="12.75">
      <c r="A119" s="20" t="s">
        <v>309</v>
      </c>
      <c r="B119" s="16">
        <v>1.56</v>
      </c>
      <c r="C119" s="22">
        <v>0.0024000000000000002</v>
      </c>
      <c r="D119" s="22">
        <v>0.1376</v>
      </c>
      <c r="E119" s="22" t="s">
        <v>432</v>
      </c>
      <c r="F119" s="16">
        <v>210</v>
      </c>
      <c r="G119" s="16">
        <v>980</v>
      </c>
    </row>
    <row r="120" spans="1:7" ht="12.75">
      <c r="A120" s="69" t="s">
        <v>309</v>
      </c>
      <c r="B120" s="133">
        <v>1.58</v>
      </c>
      <c r="C120" s="134">
        <v>0.002</v>
      </c>
      <c r="D120" s="134">
        <v>0.1005</v>
      </c>
      <c r="E120" s="133" t="s">
        <v>436</v>
      </c>
      <c r="F120" s="133">
        <v>210</v>
      </c>
      <c r="G120" s="133">
        <v>980</v>
      </c>
    </row>
    <row r="121" spans="1:7" ht="12.75">
      <c r="A121" s="20" t="s">
        <v>311</v>
      </c>
      <c r="B121" s="16">
        <v>1.56</v>
      </c>
      <c r="C121" s="22">
        <v>0.002</v>
      </c>
      <c r="D121" s="22">
        <v>0.13720000000000002</v>
      </c>
      <c r="E121" s="22" t="s">
        <v>432</v>
      </c>
      <c r="F121" s="16">
        <v>216</v>
      </c>
      <c r="G121" s="16">
        <v>820</v>
      </c>
    </row>
    <row r="122" spans="1:7" ht="12.75">
      <c r="A122" s="69" t="s">
        <v>311</v>
      </c>
      <c r="B122" s="133">
        <v>1.6</v>
      </c>
      <c r="C122" s="134">
        <v>0.0014</v>
      </c>
      <c r="D122" s="134">
        <v>0.0949</v>
      </c>
      <c r="E122" s="133" t="s">
        <v>436</v>
      </c>
      <c r="F122" s="133">
        <v>216</v>
      </c>
      <c r="G122" s="133">
        <v>820</v>
      </c>
    </row>
    <row r="123" spans="1:7" ht="12.75">
      <c r="A123" s="20" t="s">
        <v>315</v>
      </c>
      <c r="B123" s="16">
        <v>1.53</v>
      </c>
      <c r="C123" s="22">
        <v>0.0027</v>
      </c>
      <c r="D123" s="22">
        <v>0.1478</v>
      </c>
      <c r="E123" s="22" t="s">
        <v>432</v>
      </c>
      <c r="F123" s="16">
        <v>216</v>
      </c>
      <c r="G123" s="16">
        <v>700</v>
      </c>
    </row>
    <row r="124" spans="1:7" ht="12.75">
      <c r="A124" s="69" t="s">
        <v>315</v>
      </c>
      <c r="B124" s="133">
        <v>1.59</v>
      </c>
      <c r="C124" s="134">
        <v>0.0015</v>
      </c>
      <c r="D124" s="134">
        <v>0.0975</v>
      </c>
      <c r="E124" s="133" t="s">
        <v>436</v>
      </c>
      <c r="F124" s="133">
        <v>216</v>
      </c>
      <c r="G124" s="133">
        <v>700</v>
      </c>
    </row>
    <row r="125" spans="1:7" ht="12.75">
      <c r="A125" s="79" t="s">
        <v>315</v>
      </c>
      <c r="B125" s="80">
        <v>1.67</v>
      </c>
      <c r="C125" s="82">
        <v>0.0016</v>
      </c>
      <c r="D125" s="82">
        <v>0.0637</v>
      </c>
      <c r="E125" s="80" t="s">
        <v>437</v>
      </c>
      <c r="F125" s="80">
        <v>216</v>
      </c>
      <c r="G125" s="80">
        <v>700</v>
      </c>
    </row>
    <row r="126" spans="1:7" ht="12.75">
      <c r="A126" s="69" t="s">
        <v>323</v>
      </c>
      <c r="B126" s="133">
        <v>1.55</v>
      </c>
      <c r="C126" s="134">
        <v>0.0022</v>
      </c>
      <c r="D126" s="134">
        <v>0.1079</v>
      </c>
      <c r="E126" s="133" t="s">
        <v>436</v>
      </c>
      <c r="F126" s="133">
        <v>216</v>
      </c>
      <c r="G126" s="133">
        <v>550</v>
      </c>
    </row>
    <row r="127" spans="1:7" ht="12.75">
      <c r="A127" s="79" t="s">
        <v>323</v>
      </c>
      <c r="B127" s="80">
        <v>1.6</v>
      </c>
      <c r="C127" s="82">
        <v>0.0017000000000000001</v>
      </c>
      <c r="D127" s="82">
        <v>0.0774</v>
      </c>
      <c r="E127" s="80" t="s">
        <v>437</v>
      </c>
      <c r="F127" s="80">
        <v>216</v>
      </c>
      <c r="G127" s="80">
        <v>550</v>
      </c>
    </row>
    <row r="128" spans="1:7" ht="12.75">
      <c r="A128" s="144" t="s">
        <v>443</v>
      </c>
      <c r="B128" s="80">
        <f>AVERAGE(B116:B127)</f>
        <v>1.625</v>
      </c>
      <c r="C128" s="82"/>
      <c r="D128" s="82"/>
      <c r="E128" s="80"/>
      <c r="F128" s="80"/>
      <c r="G128" s="80"/>
    </row>
    <row r="129" spans="1:7" ht="12.75">
      <c r="A129" s="144" t="s">
        <v>444</v>
      </c>
      <c r="B129" s="80">
        <f>MEDIAN(B116:B127)</f>
        <v>1.5950000000000002</v>
      </c>
      <c r="C129" s="82"/>
      <c r="D129" s="82"/>
      <c r="E129" s="80"/>
      <c r="F129" s="80"/>
      <c r="G129" s="80"/>
    </row>
    <row r="130" spans="1:7" ht="12.75">
      <c r="A130" s="79"/>
      <c r="B130" s="80"/>
      <c r="C130" s="82"/>
      <c r="D130" s="82"/>
      <c r="E130" s="80"/>
      <c r="F130" s="80"/>
      <c r="G130" s="80"/>
    </row>
    <row r="131" spans="1:7" ht="12.75">
      <c r="A131" s="20" t="s">
        <v>326</v>
      </c>
      <c r="B131" s="16">
        <v>1.57</v>
      </c>
      <c r="C131" s="22">
        <v>0.0012000000000000001</v>
      </c>
      <c r="D131" s="22">
        <v>0.1331</v>
      </c>
      <c r="E131" s="22" t="s">
        <v>432</v>
      </c>
      <c r="F131" s="16">
        <v>253</v>
      </c>
      <c r="G131" s="16">
        <v>780</v>
      </c>
    </row>
    <row r="132" spans="1:7" ht="12.75">
      <c r="A132" s="69" t="s">
        <v>326</v>
      </c>
      <c r="B132" s="133">
        <v>1.63</v>
      </c>
      <c r="C132" s="134">
        <v>0.0012000000000000001</v>
      </c>
      <c r="D132" s="134">
        <v>0.0874</v>
      </c>
      <c r="E132" s="133" t="s">
        <v>436</v>
      </c>
      <c r="F132" s="133">
        <v>253</v>
      </c>
      <c r="G132" s="133">
        <v>780</v>
      </c>
    </row>
    <row r="133" spans="1:7" ht="12.75">
      <c r="A133" s="79" t="s">
        <v>328</v>
      </c>
      <c r="B133" s="80">
        <v>1.6800000000000002</v>
      </c>
      <c r="C133" s="82">
        <v>0.001</v>
      </c>
      <c r="D133" s="82">
        <v>0.0611</v>
      </c>
      <c r="E133" s="80" t="s">
        <v>437</v>
      </c>
      <c r="F133" s="80">
        <v>253</v>
      </c>
      <c r="G133" s="80">
        <v>780</v>
      </c>
    </row>
    <row r="134" spans="1:7" ht="12.75">
      <c r="A134" s="69" t="s">
        <v>329</v>
      </c>
      <c r="B134" s="133">
        <v>1.62</v>
      </c>
      <c r="C134" s="134">
        <v>0.0007</v>
      </c>
      <c r="D134" s="134">
        <v>0.08929999999999999</v>
      </c>
      <c r="E134" s="133" t="s">
        <v>436</v>
      </c>
      <c r="F134" s="133">
        <v>253</v>
      </c>
      <c r="G134" s="133">
        <v>650</v>
      </c>
    </row>
    <row r="135" spans="1:7" ht="12.75">
      <c r="A135" s="79" t="s">
        <v>329</v>
      </c>
      <c r="B135" s="80">
        <v>1.61</v>
      </c>
      <c r="C135" s="82">
        <v>0.0009000000000000001</v>
      </c>
      <c r="D135" s="82">
        <v>0.0747</v>
      </c>
      <c r="E135" s="80" t="s">
        <v>437</v>
      </c>
      <c r="F135" s="80">
        <v>253</v>
      </c>
      <c r="G135" s="80">
        <v>650</v>
      </c>
    </row>
    <row r="136" spans="1:7" ht="12.75">
      <c r="A136" s="69" t="s">
        <v>333</v>
      </c>
      <c r="B136" s="133">
        <v>1.57</v>
      </c>
      <c r="C136" s="134">
        <v>0</v>
      </c>
      <c r="D136" s="134">
        <v>0.1007</v>
      </c>
      <c r="E136" s="133">
        <v>10.07</v>
      </c>
      <c r="F136" s="133">
        <v>253</v>
      </c>
      <c r="G136" s="133">
        <v>560</v>
      </c>
    </row>
    <row r="137" spans="1:7" ht="12.75">
      <c r="A137" s="79" t="s">
        <v>333</v>
      </c>
      <c r="B137" s="80">
        <v>1.64</v>
      </c>
      <c r="C137" s="82">
        <v>0.0001</v>
      </c>
      <c r="D137" s="82">
        <v>0.0679</v>
      </c>
      <c r="E137" s="80" t="s">
        <v>437</v>
      </c>
      <c r="F137" s="80">
        <v>253</v>
      </c>
      <c r="G137" s="80">
        <v>560</v>
      </c>
    </row>
    <row r="138" spans="1:7" ht="12.75">
      <c r="A138" s="69" t="s">
        <v>338</v>
      </c>
      <c r="B138" s="133">
        <v>1.49</v>
      </c>
      <c r="C138" s="134">
        <v>0.00030000000000000003</v>
      </c>
      <c r="D138" s="134">
        <v>0.1208</v>
      </c>
      <c r="E138" s="133" t="s">
        <v>436</v>
      </c>
      <c r="F138" s="133">
        <v>253</v>
      </c>
      <c r="G138" s="133">
        <v>430</v>
      </c>
    </row>
    <row r="139" spans="1:7" ht="12.75">
      <c r="A139" s="79" t="s">
        <v>338</v>
      </c>
      <c r="B139" s="80">
        <v>1.54</v>
      </c>
      <c r="C139" s="82">
        <v>0</v>
      </c>
      <c r="D139" s="82">
        <v>0.0875</v>
      </c>
      <c r="E139" s="80" t="s">
        <v>437</v>
      </c>
      <c r="F139" s="80">
        <v>253</v>
      </c>
      <c r="G139" s="80">
        <v>430</v>
      </c>
    </row>
    <row r="140" spans="1:7" ht="12.75">
      <c r="A140" s="90" t="s">
        <v>338</v>
      </c>
      <c r="B140" s="91">
        <v>1.65</v>
      </c>
      <c r="C140" s="93">
        <v>0.00030000000000000003</v>
      </c>
      <c r="D140" s="93">
        <v>0.1063</v>
      </c>
      <c r="E140" s="91" t="s">
        <v>438</v>
      </c>
      <c r="F140" s="91">
        <v>253</v>
      </c>
      <c r="G140" s="91">
        <v>430</v>
      </c>
    </row>
    <row r="141" spans="1:7" ht="12.75">
      <c r="A141" s="69" t="s">
        <v>351</v>
      </c>
      <c r="B141" s="133">
        <v>1.79</v>
      </c>
      <c r="C141" s="134">
        <v>0.0017000000000000001</v>
      </c>
      <c r="D141" s="134">
        <v>0.049699999999999994</v>
      </c>
      <c r="E141" s="133" t="s">
        <v>436</v>
      </c>
      <c r="F141" s="133">
        <v>288</v>
      </c>
      <c r="G141" s="133">
        <v>630</v>
      </c>
    </row>
    <row r="142" spans="1:7" ht="12.75">
      <c r="A142" s="79" t="s">
        <v>351</v>
      </c>
      <c r="B142" s="80">
        <v>1.78</v>
      </c>
      <c r="C142" s="82">
        <v>0.0001</v>
      </c>
      <c r="D142" s="82">
        <v>0.040999999999999995</v>
      </c>
      <c r="E142" s="80" t="s">
        <v>437</v>
      </c>
      <c r="F142" s="80">
        <v>288</v>
      </c>
      <c r="G142" s="80">
        <v>630</v>
      </c>
    </row>
    <row r="143" spans="1:7" ht="12.75">
      <c r="A143" s="69" t="s">
        <v>355</v>
      </c>
      <c r="B143" s="133">
        <v>1.71</v>
      </c>
      <c r="C143" s="134">
        <v>0.0001</v>
      </c>
      <c r="D143" s="134">
        <v>0.067</v>
      </c>
      <c r="E143" s="133" t="s">
        <v>436</v>
      </c>
      <c r="F143" s="133">
        <v>288</v>
      </c>
      <c r="G143" s="133">
        <v>540</v>
      </c>
    </row>
    <row r="144" spans="1:7" ht="12.75">
      <c r="A144" s="79" t="s">
        <v>355</v>
      </c>
      <c r="B144" s="80">
        <v>1.8</v>
      </c>
      <c r="C144" s="82">
        <v>0.0014</v>
      </c>
      <c r="D144" s="82">
        <v>0.038599999999999995</v>
      </c>
      <c r="E144" s="82" t="s">
        <v>437</v>
      </c>
      <c r="F144" s="80">
        <v>288</v>
      </c>
      <c r="G144" s="80">
        <v>540</v>
      </c>
    </row>
    <row r="145" spans="1:7" ht="12.75">
      <c r="A145" s="69" t="s">
        <v>358</v>
      </c>
      <c r="B145" s="133">
        <v>1.61</v>
      </c>
      <c r="C145" s="134">
        <v>0.0001</v>
      </c>
      <c r="D145" s="134">
        <v>0.091</v>
      </c>
      <c r="E145" s="133" t="s">
        <v>436</v>
      </c>
      <c r="F145" s="133">
        <v>288</v>
      </c>
      <c r="G145" s="133">
        <v>420</v>
      </c>
    </row>
    <row r="146" spans="1:7" ht="12.75">
      <c r="A146" s="79" t="s">
        <v>358</v>
      </c>
      <c r="B146" s="80">
        <v>1.69</v>
      </c>
      <c r="C146" s="82">
        <v>0.0007</v>
      </c>
      <c r="D146" s="82">
        <v>0.058899999999999994</v>
      </c>
      <c r="E146" s="82" t="s">
        <v>437</v>
      </c>
      <c r="F146" s="80">
        <v>288</v>
      </c>
      <c r="G146" s="80">
        <v>420</v>
      </c>
    </row>
    <row r="147" spans="1:7" ht="12.75">
      <c r="A147" s="20" t="s">
        <v>369</v>
      </c>
      <c r="B147" s="16">
        <v>1.73</v>
      </c>
      <c r="C147" s="22">
        <v>0.0005</v>
      </c>
      <c r="D147" s="22">
        <v>0.08130000000000001</v>
      </c>
      <c r="E147" s="22" t="s">
        <v>432</v>
      </c>
      <c r="F147" s="16">
        <v>293</v>
      </c>
      <c r="G147" s="16">
        <v>850</v>
      </c>
    </row>
    <row r="148" spans="1:7" ht="12.75">
      <c r="A148" s="69" t="s">
        <v>369</v>
      </c>
      <c r="B148" s="133">
        <v>1.81</v>
      </c>
      <c r="C148" s="134">
        <v>0.0012000000000000001</v>
      </c>
      <c r="D148" s="134">
        <v>0.0446</v>
      </c>
      <c r="E148" s="133" t="s">
        <v>436</v>
      </c>
      <c r="F148" s="133">
        <v>293</v>
      </c>
      <c r="G148" s="133">
        <v>850</v>
      </c>
    </row>
    <row r="149" spans="1:7" ht="12.75">
      <c r="A149" s="69" t="s">
        <v>372</v>
      </c>
      <c r="B149" s="133">
        <v>1.77</v>
      </c>
      <c r="C149" s="134">
        <v>0.0018000000000000002</v>
      </c>
      <c r="D149" s="134">
        <v>0.0546</v>
      </c>
      <c r="E149" s="133" t="s">
        <v>436</v>
      </c>
      <c r="F149" s="133">
        <v>293</v>
      </c>
      <c r="G149" s="133">
        <v>710</v>
      </c>
    </row>
    <row r="150" spans="1:7" ht="12.75">
      <c r="A150" s="79" t="s">
        <v>372</v>
      </c>
      <c r="B150" s="80">
        <v>1.77</v>
      </c>
      <c r="C150" s="82">
        <v>0.0001</v>
      </c>
      <c r="D150" s="82">
        <v>0.0429</v>
      </c>
      <c r="E150" s="82" t="s">
        <v>437</v>
      </c>
      <c r="F150" s="80">
        <v>293</v>
      </c>
      <c r="G150" s="80">
        <v>710</v>
      </c>
    </row>
    <row r="151" spans="1:7" ht="12.75">
      <c r="A151" s="69" t="s">
        <v>375</v>
      </c>
      <c r="B151" s="133">
        <v>1.74</v>
      </c>
      <c r="C151" s="134">
        <v>0.0016</v>
      </c>
      <c r="D151" s="134">
        <v>0.061399999999999996</v>
      </c>
      <c r="E151" s="133" t="s">
        <v>436</v>
      </c>
      <c r="F151" s="133">
        <v>290</v>
      </c>
      <c r="G151" s="133">
        <v>610</v>
      </c>
    </row>
    <row r="152" spans="1:7" ht="12.75">
      <c r="A152" s="79" t="s">
        <v>375</v>
      </c>
      <c r="B152" s="80">
        <v>1.83</v>
      </c>
      <c r="C152" s="82">
        <v>0.0012000000000000001</v>
      </c>
      <c r="D152" s="82">
        <v>0.0328</v>
      </c>
      <c r="E152" s="82" t="s">
        <v>437</v>
      </c>
      <c r="F152" s="80">
        <v>290</v>
      </c>
      <c r="G152" s="80">
        <v>610</v>
      </c>
    </row>
    <row r="153" spans="1:7" ht="12.75">
      <c r="A153" s="69" t="s">
        <v>377</v>
      </c>
      <c r="B153" s="133">
        <v>1.6800000000000002</v>
      </c>
      <c r="C153" s="134">
        <v>0.0002</v>
      </c>
      <c r="D153" s="134">
        <v>0.0742</v>
      </c>
      <c r="E153" s="133" t="s">
        <v>436</v>
      </c>
      <c r="F153" s="133">
        <v>290</v>
      </c>
      <c r="G153" s="133">
        <v>540</v>
      </c>
    </row>
    <row r="154" spans="1:7" ht="12.75">
      <c r="A154" s="79" t="s">
        <v>377</v>
      </c>
      <c r="B154" s="80">
        <v>1.72</v>
      </c>
      <c r="C154" s="82">
        <v>0.0015</v>
      </c>
      <c r="D154" s="82">
        <v>0.053899999999999997</v>
      </c>
      <c r="E154" s="82" t="s">
        <v>437</v>
      </c>
      <c r="F154" s="80">
        <v>290</v>
      </c>
      <c r="G154" s="80">
        <v>540</v>
      </c>
    </row>
    <row r="155" spans="1:7" ht="12.75">
      <c r="A155" s="90" t="s">
        <v>377</v>
      </c>
      <c r="B155" s="91">
        <v>1.85</v>
      </c>
      <c r="C155" s="93">
        <v>0.0023</v>
      </c>
      <c r="D155" s="93">
        <v>0.04650000000000001</v>
      </c>
      <c r="E155" s="91" t="s">
        <v>438</v>
      </c>
      <c r="F155" s="91">
        <v>290</v>
      </c>
      <c r="G155" s="91">
        <v>540</v>
      </c>
    </row>
    <row r="156" spans="1:7" ht="12.75">
      <c r="A156" s="69" t="s">
        <v>381</v>
      </c>
      <c r="B156" s="133">
        <v>1.65</v>
      </c>
      <c r="C156" s="134">
        <v>0.0014</v>
      </c>
      <c r="D156" s="134">
        <v>0.0828</v>
      </c>
      <c r="E156" s="133" t="s">
        <v>436</v>
      </c>
      <c r="F156" s="133">
        <v>290</v>
      </c>
      <c r="G156" s="133">
        <v>430</v>
      </c>
    </row>
    <row r="157" spans="1:7" ht="12.75">
      <c r="A157" s="79" t="s">
        <v>381</v>
      </c>
      <c r="B157" s="80">
        <v>1.67</v>
      </c>
      <c r="C157" s="82">
        <v>0.0012000000000000001</v>
      </c>
      <c r="D157" s="82">
        <v>0.0633</v>
      </c>
      <c r="E157" s="82" t="s">
        <v>437</v>
      </c>
      <c r="F157" s="80">
        <v>290</v>
      </c>
      <c r="G157" s="80">
        <v>430</v>
      </c>
    </row>
    <row r="158" spans="1:7" ht="12.75">
      <c r="A158" s="90" t="s">
        <v>381</v>
      </c>
      <c r="B158" s="91">
        <v>1.82</v>
      </c>
      <c r="C158" s="93">
        <v>0.0002</v>
      </c>
      <c r="D158" s="93">
        <v>0.053399999999999996</v>
      </c>
      <c r="E158" s="91" t="s">
        <v>438</v>
      </c>
      <c r="F158" s="91">
        <v>290</v>
      </c>
      <c r="G158" s="91">
        <v>430</v>
      </c>
    </row>
    <row r="159" spans="1:7" ht="12.75">
      <c r="A159" s="163" t="s">
        <v>443</v>
      </c>
      <c r="B159" s="91">
        <f>AVERAGE(B131:B158)</f>
        <v>1.6935714285714287</v>
      </c>
      <c r="C159" s="93"/>
      <c r="D159" s="93"/>
      <c r="E159" s="91"/>
      <c r="F159" s="91"/>
      <c r="G159" s="91"/>
    </row>
    <row r="160" spans="1:7" ht="12.75">
      <c r="A160" s="163" t="s">
        <v>444</v>
      </c>
      <c r="B160" s="91">
        <f>MEDIAN(B131:B158)</f>
        <v>1.685</v>
      </c>
      <c r="C160" s="93"/>
      <c r="D160" s="93"/>
      <c r="E160" s="91"/>
      <c r="F160" s="91"/>
      <c r="G160" s="91"/>
    </row>
    <row r="161" spans="1:7" ht="12.75">
      <c r="A161" s="90"/>
      <c r="B161" s="91"/>
      <c r="C161" s="93"/>
      <c r="D161" s="93"/>
      <c r="E161" s="91"/>
      <c r="F161" s="91"/>
      <c r="G161" s="91"/>
    </row>
    <row r="162" spans="1:7" ht="12.75">
      <c r="A162" s="79" t="s">
        <v>384</v>
      </c>
      <c r="B162" s="80">
        <v>1.73</v>
      </c>
      <c r="C162" s="82">
        <v>0.0006000000000000001</v>
      </c>
      <c r="D162" s="82">
        <v>0.051</v>
      </c>
      <c r="E162" s="82" t="s">
        <v>437</v>
      </c>
      <c r="F162" s="80">
        <v>353</v>
      </c>
      <c r="G162" s="80">
        <v>520</v>
      </c>
    </row>
    <row r="163" spans="1:7" ht="12.75">
      <c r="A163" s="79" t="s">
        <v>387</v>
      </c>
      <c r="B163" s="80">
        <v>1.66</v>
      </c>
      <c r="C163" s="82">
        <v>0.0017000000000000001</v>
      </c>
      <c r="D163" s="82">
        <v>0.0658</v>
      </c>
      <c r="E163" s="82" t="s">
        <v>437</v>
      </c>
      <c r="F163" s="80">
        <v>353</v>
      </c>
      <c r="G163" s="80">
        <v>440</v>
      </c>
    </row>
    <row r="164" spans="1:7" ht="12.75">
      <c r="A164" s="88" t="s">
        <v>387</v>
      </c>
      <c r="B164" s="89">
        <v>1.81</v>
      </c>
      <c r="C164" s="103">
        <v>0.0012000000000000001</v>
      </c>
      <c r="D164" s="103">
        <v>0.030899999999999997</v>
      </c>
      <c r="E164" s="89" t="s">
        <v>439</v>
      </c>
      <c r="F164" s="89">
        <v>353</v>
      </c>
      <c r="G164" s="2">
        <v>440</v>
      </c>
    </row>
    <row r="165" spans="1:7" ht="12.75">
      <c r="A165" s="164" t="s">
        <v>443</v>
      </c>
      <c r="B165" s="89">
        <f>AVERAGE(B162:B164)</f>
        <v>1.7333333333333332</v>
      </c>
      <c r="C165" s="103"/>
      <c r="D165" s="103"/>
      <c r="E165" s="89"/>
      <c r="F165" s="89"/>
      <c r="G165" s="2"/>
    </row>
    <row r="166" spans="1:7" ht="12.75">
      <c r="A166" s="164" t="s">
        <v>444</v>
      </c>
      <c r="B166" s="89">
        <f>MEDIAN(B162:B164)</f>
        <v>1.73</v>
      </c>
      <c r="C166" s="103"/>
      <c r="D166" s="103"/>
      <c r="E166" s="89"/>
      <c r="F166" s="89"/>
      <c r="G166" s="2"/>
    </row>
    <row r="167" spans="1:7" ht="12.75">
      <c r="A167" s="88"/>
      <c r="B167" s="89"/>
      <c r="C167" s="103"/>
      <c r="D167" s="103"/>
      <c r="E167" s="89"/>
      <c r="F167" s="89"/>
      <c r="G167" s="2"/>
    </row>
    <row r="168" spans="1:7" ht="12.75">
      <c r="A168" s="79" t="s">
        <v>389</v>
      </c>
      <c r="B168" s="80">
        <v>1.79</v>
      </c>
      <c r="C168" s="82">
        <v>0.0006000000000000001</v>
      </c>
      <c r="D168" s="82">
        <v>0.0397</v>
      </c>
      <c r="E168" s="82" t="s">
        <v>437</v>
      </c>
      <c r="F168" s="80">
        <v>398</v>
      </c>
      <c r="G168" s="80">
        <v>540</v>
      </c>
    </row>
    <row r="169" spans="1:7" ht="12.75">
      <c r="A169" s="90" t="s">
        <v>389</v>
      </c>
      <c r="B169" s="91">
        <v>1.78</v>
      </c>
      <c r="C169" s="93">
        <v>0.0014</v>
      </c>
      <c r="D169" s="93">
        <v>0.0669</v>
      </c>
      <c r="E169" s="91" t="s">
        <v>438</v>
      </c>
      <c r="F169" s="91">
        <v>398</v>
      </c>
      <c r="G169" s="91">
        <v>540</v>
      </c>
    </row>
    <row r="170" spans="1:7" ht="12.75">
      <c r="A170" s="79" t="s">
        <v>392</v>
      </c>
      <c r="B170" s="80">
        <v>1.66</v>
      </c>
      <c r="C170" s="82">
        <v>0</v>
      </c>
      <c r="D170" s="82">
        <v>0.064</v>
      </c>
      <c r="E170" s="82" t="s">
        <v>437</v>
      </c>
      <c r="F170" s="80">
        <v>400</v>
      </c>
      <c r="G170" s="80">
        <v>450</v>
      </c>
    </row>
    <row r="171" spans="1:7" ht="12.75">
      <c r="A171" s="90" t="s">
        <v>392</v>
      </c>
      <c r="B171" s="91">
        <v>1.74</v>
      </c>
      <c r="C171" s="93">
        <v>0.0012000000000000001</v>
      </c>
      <c r="D171" s="93">
        <v>0.0789</v>
      </c>
      <c r="E171" s="91" t="s">
        <v>438</v>
      </c>
      <c r="F171" s="91">
        <v>400</v>
      </c>
      <c r="G171" s="91">
        <v>450</v>
      </c>
    </row>
    <row r="172" spans="1:7" ht="12.75">
      <c r="A172" s="79" t="s">
        <v>396</v>
      </c>
      <c r="B172" s="80">
        <v>1.59</v>
      </c>
      <c r="C172" s="82">
        <v>0.0007</v>
      </c>
      <c r="D172" s="82">
        <v>0.0784</v>
      </c>
      <c r="E172" s="82" t="s">
        <v>437</v>
      </c>
      <c r="F172" s="80">
        <v>396</v>
      </c>
      <c r="G172" s="80">
        <v>390</v>
      </c>
    </row>
    <row r="173" spans="1:7" ht="12.75">
      <c r="A173" s="90" t="s">
        <v>396</v>
      </c>
      <c r="B173" s="91">
        <v>1.71</v>
      </c>
      <c r="C173" s="93">
        <v>0.0025</v>
      </c>
      <c r="D173" s="93">
        <v>0.0897</v>
      </c>
      <c r="E173" s="91" t="s">
        <v>438</v>
      </c>
      <c r="F173" s="91">
        <v>396</v>
      </c>
      <c r="G173" s="91">
        <v>390</v>
      </c>
    </row>
    <row r="174" spans="1:7" ht="12.75">
      <c r="A174" s="90" t="s">
        <v>400</v>
      </c>
      <c r="B174" s="91">
        <v>1.61</v>
      </c>
      <c r="C174" s="93">
        <v>0.0002</v>
      </c>
      <c r="D174" s="93">
        <v>0.1189</v>
      </c>
      <c r="E174" s="91" t="s">
        <v>438</v>
      </c>
      <c r="F174" s="91">
        <v>396</v>
      </c>
      <c r="G174" s="91">
        <v>300</v>
      </c>
    </row>
    <row r="175" spans="1:7" ht="12.75">
      <c r="A175" s="104" t="s">
        <v>400</v>
      </c>
      <c r="B175" s="105">
        <v>1.75</v>
      </c>
      <c r="C175" s="107">
        <v>0.0001</v>
      </c>
      <c r="D175" s="107">
        <v>0.0575</v>
      </c>
      <c r="E175" s="105" t="s">
        <v>440</v>
      </c>
      <c r="F175" s="105">
        <v>396</v>
      </c>
      <c r="G175" s="105">
        <v>300</v>
      </c>
    </row>
    <row r="176" spans="1:7" ht="12.75">
      <c r="A176" s="112" t="s">
        <v>406</v>
      </c>
      <c r="B176" s="113">
        <v>1.77</v>
      </c>
      <c r="C176" s="115">
        <v>0.0008</v>
      </c>
      <c r="D176" s="115">
        <v>0.024399999999999998</v>
      </c>
      <c r="E176" s="113" t="s">
        <v>441</v>
      </c>
      <c r="F176" s="113">
        <v>409</v>
      </c>
      <c r="G176" s="113">
        <v>385</v>
      </c>
    </row>
    <row r="177" spans="1:7" ht="12.75">
      <c r="A177" s="112" t="s">
        <v>417</v>
      </c>
      <c r="B177" s="113">
        <v>1.74</v>
      </c>
      <c r="C177" s="115">
        <v>0.0011</v>
      </c>
      <c r="D177" s="115">
        <v>0.0346</v>
      </c>
      <c r="E177" s="113" t="s">
        <v>441</v>
      </c>
      <c r="F177" s="113">
        <v>409</v>
      </c>
      <c r="G177" s="113">
        <v>305</v>
      </c>
    </row>
    <row r="178" spans="1:7" ht="12.75">
      <c r="A178" s="120" t="s">
        <v>417</v>
      </c>
      <c r="B178" s="121">
        <v>1.65</v>
      </c>
      <c r="C178" s="123">
        <v>0.0004</v>
      </c>
      <c r="D178" s="123">
        <v>0.0516</v>
      </c>
      <c r="E178" s="121" t="s">
        <v>442</v>
      </c>
      <c r="F178" s="121">
        <v>409</v>
      </c>
      <c r="G178" s="121">
        <v>305</v>
      </c>
    </row>
    <row r="179" spans="1:2" ht="12.75">
      <c r="A179" s="149" t="s">
        <v>443</v>
      </c>
      <c r="B179" s="19">
        <f>AVERAGE(B168:B178)</f>
        <v>1.708181818181818</v>
      </c>
    </row>
    <row r="180" spans="1:2" ht="12.75">
      <c r="A180" s="149" t="s">
        <v>444</v>
      </c>
      <c r="B180" s="19">
        <f>MEDIAN(B168:B178)</f>
        <v>1.74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zoomScale="110" zoomScaleNormal="110" workbookViewId="0" topLeftCell="A1">
      <selection activeCell="H2" sqref="H2"/>
    </sheetView>
  </sheetViews>
  <sheetFormatPr defaultColWidth="12.5742187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8515625" style="0" customWidth="1"/>
    <col min="5" max="5" width="13.421875" style="0" customWidth="1"/>
    <col min="6" max="6" width="4.8515625" style="0" customWidth="1"/>
    <col min="7" max="7" width="5.28125" style="0" customWidth="1"/>
    <col min="8" max="16384" width="11.57421875" style="0" customWidth="1"/>
  </cols>
  <sheetData>
    <row r="1" spans="1:7" ht="12.75">
      <c r="A1" s="1" t="s">
        <v>0</v>
      </c>
      <c r="B1" s="2" t="s">
        <v>427</v>
      </c>
      <c r="C1" s="2" t="s">
        <v>428</v>
      </c>
      <c r="D1" s="2" t="s">
        <v>429</v>
      </c>
      <c r="E1" s="2" t="s">
        <v>430</v>
      </c>
      <c r="F1" s="2" t="s">
        <v>8</v>
      </c>
      <c r="G1" s="2" t="s">
        <v>7</v>
      </c>
    </row>
    <row r="2" spans="1:8" ht="12.75">
      <c r="A2" s="1" t="s">
        <v>136</v>
      </c>
      <c r="B2" s="2">
        <v>1.63</v>
      </c>
      <c r="C2" s="4">
        <v>0.0014</v>
      </c>
      <c r="D2" s="4">
        <v>0.1635</v>
      </c>
      <c r="E2" s="2" t="s">
        <v>431</v>
      </c>
      <c r="F2" s="2">
        <v>74</v>
      </c>
      <c r="G2" s="2">
        <v>2300</v>
      </c>
      <c r="H2" t="s">
        <v>568</v>
      </c>
    </row>
    <row r="3" spans="1:7" ht="12.75">
      <c r="A3" s="20" t="s">
        <v>136</v>
      </c>
      <c r="B3" s="16">
        <v>1.55</v>
      </c>
      <c r="C3" s="22">
        <v>0.0005</v>
      </c>
      <c r="D3" s="22">
        <v>0.1388</v>
      </c>
      <c r="E3" s="16" t="s">
        <v>432</v>
      </c>
      <c r="F3" s="16">
        <v>74</v>
      </c>
      <c r="G3" s="16">
        <v>2300</v>
      </c>
    </row>
    <row r="4" spans="1:7" ht="12.75">
      <c r="A4" s="1" t="s">
        <v>62</v>
      </c>
      <c r="B4" s="2">
        <v>1.49</v>
      </c>
      <c r="C4" s="4">
        <v>0.0025</v>
      </c>
      <c r="D4" s="4">
        <v>0.2328</v>
      </c>
      <c r="E4" s="2" t="s">
        <v>431</v>
      </c>
      <c r="F4" s="2">
        <v>46.5</v>
      </c>
      <c r="G4" s="2">
        <v>2000</v>
      </c>
    </row>
    <row r="5" spans="1:7" ht="12.75">
      <c r="A5" s="1" t="s">
        <v>111</v>
      </c>
      <c r="B5" s="2">
        <v>1.52</v>
      </c>
      <c r="C5" s="4">
        <v>0.0029000000000000002</v>
      </c>
      <c r="D5" s="4">
        <v>0.2184</v>
      </c>
      <c r="E5" s="2" t="s">
        <v>431</v>
      </c>
      <c r="F5" s="2">
        <v>60</v>
      </c>
      <c r="G5" s="2">
        <v>2000</v>
      </c>
    </row>
    <row r="6" spans="1:7" ht="12.75">
      <c r="A6" s="20" t="s">
        <v>111</v>
      </c>
      <c r="B6" s="16">
        <v>1.56</v>
      </c>
      <c r="C6" s="22">
        <v>-1E-06</v>
      </c>
      <c r="D6" s="22">
        <v>0.1348</v>
      </c>
      <c r="E6" s="16" t="s">
        <v>432</v>
      </c>
      <c r="F6" s="16">
        <v>60</v>
      </c>
      <c r="G6" s="16">
        <v>2000</v>
      </c>
    </row>
    <row r="7" spans="1:7" ht="12.75">
      <c r="A7" s="1" t="s">
        <v>9</v>
      </c>
      <c r="B7" s="2">
        <v>1.5</v>
      </c>
      <c r="C7" s="4">
        <v>0</v>
      </c>
      <c r="D7" s="4">
        <v>0.2257</v>
      </c>
      <c r="E7" s="2" t="s">
        <v>431</v>
      </c>
      <c r="F7" s="2">
        <v>22.4</v>
      </c>
      <c r="G7" s="2">
        <v>1960</v>
      </c>
    </row>
    <row r="8" spans="1:7" ht="12.75">
      <c r="A8" s="1" t="s">
        <v>30</v>
      </c>
      <c r="B8" s="2">
        <v>1.27</v>
      </c>
      <c r="C8" s="4">
        <v>0.001</v>
      </c>
      <c r="D8" s="4">
        <v>0.33590000000000003</v>
      </c>
      <c r="E8" s="2" t="s">
        <v>431</v>
      </c>
      <c r="F8" s="2">
        <v>35.4</v>
      </c>
      <c r="G8" s="2">
        <v>1900</v>
      </c>
    </row>
    <row r="9" spans="1:7" ht="12.75">
      <c r="A9" s="1" t="s">
        <v>178</v>
      </c>
      <c r="B9" s="2">
        <v>1.54</v>
      </c>
      <c r="C9" s="4">
        <v>0.0021000000000000003</v>
      </c>
      <c r="D9" s="4">
        <v>0.2075</v>
      </c>
      <c r="E9" s="2" t="s">
        <v>431</v>
      </c>
      <c r="F9" s="2">
        <v>88</v>
      </c>
      <c r="G9" s="2">
        <v>1860</v>
      </c>
    </row>
    <row r="10" spans="1:7" ht="12.75">
      <c r="A10" s="20" t="s">
        <v>178</v>
      </c>
      <c r="B10" s="16">
        <v>1.58</v>
      </c>
      <c r="C10" s="22">
        <v>0.0001</v>
      </c>
      <c r="D10" s="22">
        <v>0.1285</v>
      </c>
      <c r="E10" s="16" t="s">
        <v>432</v>
      </c>
      <c r="F10" s="16">
        <v>88</v>
      </c>
      <c r="G10" s="16">
        <v>1860</v>
      </c>
    </row>
    <row r="11" spans="1:7" ht="12.75">
      <c r="A11" s="1" t="s">
        <v>76</v>
      </c>
      <c r="B11" s="2">
        <v>1.38</v>
      </c>
      <c r="C11" s="4">
        <v>0.0015</v>
      </c>
      <c r="D11" s="4">
        <v>0.2878</v>
      </c>
      <c r="E11" s="2" t="s">
        <v>431</v>
      </c>
      <c r="F11" s="2">
        <v>58</v>
      </c>
      <c r="G11" s="2">
        <v>1850</v>
      </c>
    </row>
    <row r="12" spans="1:7" ht="12.75">
      <c r="A12" s="1" t="s">
        <v>124</v>
      </c>
      <c r="B12" s="2">
        <v>1.49</v>
      </c>
      <c r="C12" s="4">
        <v>0.0028</v>
      </c>
      <c r="D12" s="4">
        <v>0.2332</v>
      </c>
      <c r="E12" s="2" t="s">
        <v>431</v>
      </c>
      <c r="F12" s="2">
        <v>68.8</v>
      </c>
      <c r="G12" s="2">
        <v>1810</v>
      </c>
    </row>
    <row r="13" spans="1:7" ht="12.75">
      <c r="A13" s="1" t="s">
        <v>17</v>
      </c>
      <c r="B13" s="2">
        <v>1.47</v>
      </c>
      <c r="C13" s="4">
        <v>0.00030000000000000003</v>
      </c>
      <c r="D13" s="4">
        <v>0.2401</v>
      </c>
      <c r="E13" s="2" t="s">
        <v>431</v>
      </c>
      <c r="F13" s="2">
        <v>22.5</v>
      </c>
      <c r="G13" s="2">
        <v>1750</v>
      </c>
    </row>
    <row r="14" spans="1:7" ht="12.75">
      <c r="A14" s="129" t="s">
        <v>211</v>
      </c>
      <c r="B14" s="130">
        <v>1.86</v>
      </c>
      <c r="C14" s="131">
        <v>0.0024000000000000002</v>
      </c>
      <c r="D14" s="131">
        <v>0.0435</v>
      </c>
      <c r="E14" s="131" t="s">
        <v>432</v>
      </c>
      <c r="F14" s="16">
        <v>109</v>
      </c>
      <c r="G14" s="16">
        <v>1700</v>
      </c>
    </row>
    <row r="15" spans="1:7" ht="12.75">
      <c r="A15" s="49" t="s">
        <v>195</v>
      </c>
      <c r="B15" s="50">
        <v>1.3</v>
      </c>
      <c r="C15" s="53">
        <v>0.0023</v>
      </c>
      <c r="D15" s="53">
        <v>0.1048</v>
      </c>
      <c r="E15" s="50" t="s">
        <v>435</v>
      </c>
      <c r="F15" s="50">
        <v>106</v>
      </c>
      <c r="G15" s="50">
        <v>1640</v>
      </c>
    </row>
    <row r="16" spans="1:7" ht="12.75">
      <c r="A16" s="59" t="s">
        <v>195</v>
      </c>
      <c r="B16" s="60">
        <v>1.2</v>
      </c>
      <c r="C16" s="63">
        <v>0.0079</v>
      </c>
      <c r="D16" s="63">
        <v>0.11</v>
      </c>
      <c r="E16" s="60" t="s">
        <v>433</v>
      </c>
      <c r="F16" s="60">
        <v>106</v>
      </c>
      <c r="G16" s="60">
        <v>1640</v>
      </c>
    </row>
    <row r="17" spans="1:7" ht="12.75">
      <c r="A17" s="1" t="s">
        <v>34</v>
      </c>
      <c r="B17" s="2">
        <v>1.24</v>
      </c>
      <c r="C17" s="4">
        <v>0.0027</v>
      </c>
      <c r="D17" s="4">
        <v>0.36460000000000004</v>
      </c>
      <c r="E17" s="2" t="s">
        <v>431</v>
      </c>
      <c r="F17" s="2">
        <v>35.4</v>
      </c>
      <c r="G17" s="2">
        <v>1585</v>
      </c>
    </row>
    <row r="18" spans="1:7" ht="12.75">
      <c r="A18" s="1" t="s">
        <v>65</v>
      </c>
      <c r="B18" s="2">
        <v>1.46</v>
      </c>
      <c r="C18" s="4">
        <v>0.0031000000000000003</v>
      </c>
      <c r="D18" s="4">
        <v>0.2486</v>
      </c>
      <c r="E18" s="2" t="s">
        <v>431</v>
      </c>
      <c r="F18" s="2">
        <v>46.5</v>
      </c>
      <c r="G18" s="2">
        <v>1550</v>
      </c>
    </row>
    <row r="19" spans="1:7" ht="12.75">
      <c r="A19" s="1" t="s">
        <v>140</v>
      </c>
      <c r="B19" s="2">
        <v>1.51</v>
      </c>
      <c r="C19" s="4">
        <v>0.0037</v>
      </c>
      <c r="D19" s="4">
        <v>0.2243</v>
      </c>
      <c r="E19" s="2" t="s">
        <v>431</v>
      </c>
      <c r="F19" s="2">
        <v>74</v>
      </c>
      <c r="G19" s="2">
        <v>1550</v>
      </c>
    </row>
    <row r="20" spans="1:7" ht="12.75">
      <c r="A20" s="20" t="s">
        <v>140</v>
      </c>
      <c r="B20" s="16">
        <v>1.6</v>
      </c>
      <c r="C20" s="22">
        <v>0.0008</v>
      </c>
      <c r="D20" s="22">
        <v>0.1229</v>
      </c>
      <c r="E20" s="16" t="s">
        <v>432</v>
      </c>
      <c r="F20" s="16">
        <v>74</v>
      </c>
      <c r="G20" s="16">
        <v>1550</v>
      </c>
    </row>
    <row r="21" spans="1:7" ht="12.75">
      <c r="A21" s="20" t="s">
        <v>182</v>
      </c>
      <c r="B21" s="16">
        <v>1.65</v>
      </c>
      <c r="C21" s="22">
        <v>0.0027</v>
      </c>
      <c r="D21" s="22">
        <v>0.109</v>
      </c>
      <c r="E21" s="16" t="s">
        <v>432</v>
      </c>
      <c r="F21" s="16">
        <v>88</v>
      </c>
      <c r="G21" s="16">
        <v>1500</v>
      </c>
    </row>
    <row r="22" spans="1:7" ht="12.75">
      <c r="A22" s="1" t="s">
        <v>38</v>
      </c>
      <c r="B22" s="2">
        <v>1.29</v>
      </c>
      <c r="C22" s="4">
        <v>0.0031000000000000003</v>
      </c>
      <c r="D22" s="4">
        <v>0.33770000000000006</v>
      </c>
      <c r="E22" s="2" t="s">
        <v>431</v>
      </c>
      <c r="F22" s="2">
        <v>35.4</v>
      </c>
      <c r="G22" s="2">
        <v>1490</v>
      </c>
    </row>
    <row r="23" spans="1:7" ht="12.75">
      <c r="A23" s="59" t="s">
        <v>154</v>
      </c>
      <c r="B23" s="60">
        <v>1.5</v>
      </c>
      <c r="C23" s="63">
        <v>0</v>
      </c>
      <c r="D23" s="63">
        <v>0.0616</v>
      </c>
      <c r="E23" s="60" t="s">
        <v>433</v>
      </c>
      <c r="F23" s="60">
        <v>76</v>
      </c>
      <c r="G23" s="60">
        <v>1490</v>
      </c>
    </row>
    <row r="24" spans="1:7" ht="12.75">
      <c r="A24" s="41" t="s">
        <v>154</v>
      </c>
      <c r="B24" s="42">
        <v>1.51</v>
      </c>
      <c r="C24" s="44">
        <v>0.0015</v>
      </c>
      <c r="D24" s="44">
        <v>0.099</v>
      </c>
      <c r="E24" s="128" t="s">
        <v>434</v>
      </c>
      <c r="F24" s="42">
        <v>76</v>
      </c>
      <c r="G24" s="42">
        <v>1490</v>
      </c>
    </row>
    <row r="25" spans="1:7" ht="12.75">
      <c r="A25" s="20" t="s">
        <v>274</v>
      </c>
      <c r="B25" s="16">
        <v>1.85</v>
      </c>
      <c r="C25" s="22">
        <v>0.0007</v>
      </c>
      <c r="D25" s="22">
        <v>0.044800000000000006</v>
      </c>
      <c r="E25" s="22" t="s">
        <v>432</v>
      </c>
      <c r="F25" s="16">
        <v>171</v>
      </c>
      <c r="G25" s="16">
        <v>1470</v>
      </c>
    </row>
    <row r="26" spans="1:7" ht="12.75">
      <c r="A26" s="20" t="s">
        <v>229</v>
      </c>
      <c r="B26" s="16">
        <v>1.78</v>
      </c>
      <c r="C26" s="22">
        <v>0.0019</v>
      </c>
      <c r="D26" s="22">
        <v>-0.0392</v>
      </c>
      <c r="E26" s="22" t="s">
        <v>432</v>
      </c>
      <c r="F26" s="16">
        <v>139</v>
      </c>
      <c r="G26" s="16">
        <v>1450</v>
      </c>
    </row>
    <row r="27" spans="1:7" ht="12.75">
      <c r="A27" s="69" t="s">
        <v>229</v>
      </c>
      <c r="B27" s="133">
        <v>1.96</v>
      </c>
      <c r="C27" s="134">
        <v>0.0015</v>
      </c>
      <c r="D27" s="134">
        <v>0.0105</v>
      </c>
      <c r="E27" s="133" t="s">
        <v>436</v>
      </c>
      <c r="F27" s="133">
        <v>139</v>
      </c>
      <c r="G27" s="133">
        <v>1450</v>
      </c>
    </row>
    <row r="28" spans="1:7" ht="12.75">
      <c r="A28" s="129" t="s">
        <v>214</v>
      </c>
      <c r="B28" s="130">
        <v>1.8</v>
      </c>
      <c r="C28" s="131">
        <v>0.0031000000000000003</v>
      </c>
      <c r="D28" s="131">
        <v>0.0625</v>
      </c>
      <c r="E28" s="131" t="s">
        <v>432</v>
      </c>
      <c r="F28" s="16">
        <v>109</v>
      </c>
      <c r="G28" s="16">
        <v>1390</v>
      </c>
    </row>
    <row r="29" spans="1:7" ht="12.75">
      <c r="A29" s="1" t="s">
        <v>116</v>
      </c>
      <c r="B29" s="2">
        <v>1.27</v>
      </c>
      <c r="C29" s="4">
        <v>0.0028</v>
      </c>
      <c r="D29" s="4">
        <v>0.3483</v>
      </c>
      <c r="E29" s="2" t="s">
        <v>431</v>
      </c>
      <c r="F29" s="2">
        <v>61</v>
      </c>
      <c r="G29" s="2">
        <v>1350</v>
      </c>
    </row>
    <row r="30" spans="1:7" ht="12.75">
      <c r="A30" s="20" t="s">
        <v>116</v>
      </c>
      <c r="B30" s="16">
        <v>1.62</v>
      </c>
      <c r="C30" s="22">
        <v>0.0022</v>
      </c>
      <c r="D30" s="22">
        <v>0.11800000000000001</v>
      </c>
      <c r="E30" s="16" t="s">
        <v>432</v>
      </c>
      <c r="F30" s="16">
        <v>61</v>
      </c>
      <c r="G30" s="16">
        <v>1350</v>
      </c>
    </row>
    <row r="31" spans="1:7" ht="12.75">
      <c r="A31" s="20" t="s">
        <v>172</v>
      </c>
      <c r="B31" s="16">
        <v>1.66</v>
      </c>
      <c r="C31" s="22">
        <v>0.0001</v>
      </c>
      <c r="D31" s="22">
        <v>0.10279999999999999</v>
      </c>
      <c r="E31" s="16" t="s">
        <v>432</v>
      </c>
      <c r="F31" s="16">
        <v>80.5</v>
      </c>
      <c r="G31" s="16">
        <v>1330</v>
      </c>
    </row>
    <row r="32" spans="1:7" ht="12.75">
      <c r="A32" s="1" t="s">
        <v>43</v>
      </c>
      <c r="B32" s="2">
        <v>1.34</v>
      </c>
      <c r="C32" s="4">
        <v>0.0025</v>
      </c>
      <c r="D32" s="4">
        <v>0.3102</v>
      </c>
      <c r="E32" s="2" t="s">
        <v>431</v>
      </c>
      <c r="F32" s="2">
        <v>45</v>
      </c>
      <c r="G32" s="2">
        <v>1280</v>
      </c>
    </row>
    <row r="33" spans="1:7" ht="12.75">
      <c r="A33" s="20" t="s">
        <v>185</v>
      </c>
      <c r="B33" s="16">
        <v>1.33</v>
      </c>
      <c r="C33" s="22">
        <v>0.0025</v>
      </c>
      <c r="D33" s="22">
        <v>0.21559999999999999</v>
      </c>
      <c r="E33" s="16" t="s">
        <v>432</v>
      </c>
      <c r="F33" s="16">
        <v>88</v>
      </c>
      <c r="G33" s="16">
        <v>1250</v>
      </c>
    </row>
    <row r="34" spans="1:7" ht="12.75">
      <c r="A34" s="20" t="s">
        <v>189</v>
      </c>
      <c r="B34" s="16">
        <v>1.61</v>
      </c>
      <c r="C34" s="22">
        <v>0.0026000000000000003</v>
      </c>
      <c r="D34" s="22">
        <v>0.1216</v>
      </c>
      <c r="E34" s="16" t="s">
        <v>432</v>
      </c>
      <c r="F34" s="16">
        <v>95</v>
      </c>
      <c r="G34" s="16">
        <v>1220</v>
      </c>
    </row>
    <row r="35" spans="1:7" ht="12.75">
      <c r="A35" s="20" t="s">
        <v>223</v>
      </c>
      <c r="B35" s="16">
        <v>1.82</v>
      </c>
      <c r="C35" s="22">
        <v>0.0024000000000000002</v>
      </c>
      <c r="D35" s="22">
        <v>0.0557</v>
      </c>
      <c r="E35" s="22" t="s">
        <v>432</v>
      </c>
      <c r="F35" s="16">
        <v>129</v>
      </c>
      <c r="G35" s="16">
        <v>1220</v>
      </c>
    </row>
    <row r="36" spans="1:7" ht="12.75">
      <c r="A36" s="20" t="s">
        <v>248</v>
      </c>
      <c r="B36" s="16">
        <v>1.6</v>
      </c>
      <c r="C36" s="22">
        <v>0.0001</v>
      </c>
      <c r="D36" s="22">
        <v>0.12210000000000001</v>
      </c>
      <c r="E36" s="22" t="s">
        <v>432</v>
      </c>
      <c r="F36" s="16">
        <v>141</v>
      </c>
      <c r="G36" s="16">
        <v>1200</v>
      </c>
    </row>
    <row r="37" spans="1:7" ht="12.75">
      <c r="A37" s="69" t="s">
        <v>248</v>
      </c>
      <c r="B37" s="133">
        <v>1.67</v>
      </c>
      <c r="C37" s="134">
        <v>0.0009000000000000001</v>
      </c>
      <c r="D37" s="134">
        <v>0.0774</v>
      </c>
      <c r="E37" s="133" t="s">
        <v>436</v>
      </c>
      <c r="F37" s="133">
        <v>141</v>
      </c>
      <c r="G37" s="133">
        <v>1200</v>
      </c>
    </row>
    <row r="38" spans="1:7" ht="12.75">
      <c r="A38" s="59" t="s">
        <v>260</v>
      </c>
      <c r="B38" s="60">
        <v>1.51</v>
      </c>
      <c r="C38" s="63">
        <v>0.0008</v>
      </c>
      <c r="D38" s="63">
        <v>0.06849999999999999</v>
      </c>
      <c r="E38" s="60" t="s">
        <v>433</v>
      </c>
      <c r="F38" s="60">
        <v>151</v>
      </c>
      <c r="G38" s="60">
        <v>1200</v>
      </c>
    </row>
    <row r="39" spans="1:7" ht="12.75">
      <c r="A39" s="41" t="s">
        <v>260</v>
      </c>
      <c r="B39" s="42">
        <v>1.2</v>
      </c>
      <c r="C39" s="44">
        <v>0.0005</v>
      </c>
      <c r="D39" s="44">
        <v>0.1961</v>
      </c>
      <c r="E39" s="128" t="s">
        <v>434</v>
      </c>
      <c r="F39" s="42">
        <v>151</v>
      </c>
      <c r="G39" s="42">
        <v>1200</v>
      </c>
    </row>
    <row r="40" spans="1:7" ht="12.75">
      <c r="A40" s="1" t="s">
        <v>69</v>
      </c>
      <c r="B40" s="2">
        <v>1.35</v>
      </c>
      <c r="C40" s="4">
        <v>0.0018000000000000002</v>
      </c>
      <c r="D40" s="4">
        <v>0.3038</v>
      </c>
      <c r="E40" s="2" t="s">
        <v>431</v>
      </c>
      <c r="F40" s="2">
        <v>47</v>
      </c>
      <c r="G40" s="2">
        <v>1180</v>
      </c>
    </row>
    <row r="41" spans="1:7" ht="12.75">
      <c r="A41" s="20" t="s">
        <v>69</v>
      </c>
      <c r="B41" s="16">
        <v>1.43</v>
      </c>
      <c r="C41" s="22">
        <v>0.0005</v>
      </c>
      <c r="D41" s="22">
        <v>0.1788</v>
      </c>
      <c r="E41" s="16" t="s">
        <v>432</v>
      </c>
      <c r="F41" s="16">
        <v>47</v>
      </c>
      <c r="G41" s="16">
        <v>1180</v>
      </c>
    </row>
    <row r="42" spans="1:7" ht="12.75">
      <c r="A42" s="1" t="s">
        <v>143</v>
      </c>
      <c r="B42" s="2">
        <v>1.41</v>
      </c>
      <c r="C42" s="4">
        <v>0.0029000000000000002</v>
      </c>
      <c r="D42" s="4">
        <v>0.27399999999999997</v>
      </c>
      <c r="E42" s="2" t="s">
        <v>431</v>
      </c>
      <c r="F42" s="2">
        <v>73</v>
      </c>
      <c r="G42" s="2">
        <v>1180</v>
      </c>
    </row>
    <row r="43" spans="1:7" ht="12.75">
      <c r="A43" s="20" t="s">
        <v>143</v>
      </c>
      <c r="B43" s="16">
        <v>1.5</v>
      </c>
      <c r="C43" s="22">
        <v>0.0008</v>
      </c>
      <c r="D43" s="22">
        <v>0.15560000000000002</v>
      </c>
      <c r="E43" s="16" t="s">
        <v>432</v>
      </c>
      <c r="F43" s="16">
        <v>73</v>
      </c>
      <c r="G43" s="16">
        <v>1180</v>
      </c>
    </row>
    <row r="44" spans="1:7" ht="12.75">
      <c r="A44" s="1" t="s">
        <v>79</v>
      </c>
      <c r="B44" s="2">
        <v>1.42</v>
      </c>
      <c r="C44" s="4">
        <v>0.0014</v>
      </c>
      <c r="D44" s="4">
        <v>0.2669</v>
      </c>
      <c r="E44" s="2" t="s">
        <v>431</v>
      </c>
      <c r="F44" s="2">
        <v>58</v>
      </c>
      <c r="G44" s="2">
        <v>1170</v>
      </c>
    </row>
    <row r="45" spans="1:7" ht="12.75">
      <c r="A45" s="20" t="s">
        <v>233</v>
      </c>
      <c r="B45" s="16">
        <v>1.79</v>
      </c>
      <c r="C45" s="22">
        <v>0.0005</v>
      </c>
      <c r="D45" s="22">
        <v>0.06280000000000001</v>
      </c>
      <c r="E45" s="22" t="s">
        <v>432</v>
      </c>
      <c r="F45" s="16">
        <v>142</v>
      </c>
      <c r="G45" s="16">
        <v>1170</v>
      </c>
    </row>
    <row r="46" spans="1:7" ht="12.75">
      <c r="A46" s="69" t="s">
        <v>233</v>
      </c>
      <c r="B46" s="133">
        <v>1.82</v>
      </c>
      <c r="C46" s="134">
        <v>0.0005</v>
      </c>
      <c r="D46" s="134">
        <v>0.0415</v>
      </c>
      <c r="E46" s="133" t="s">
        <v>436</v>
      </c>
      <c r="F46" s="133">
        <v>142</v>
      </c>
      <c r="G46" s="133">
        <v>1170</v>
      </c>
    </row>
    <row r="47" spans="1:7" ht="12.75">
      <c r="A47" s="20" t="s">
        <v>174</v>
      </c>
      <c r="B47" s="16">
        <v>1.6</v>
      </c>
      <c r="C47" s="22">
        <v>0.0008</v>
      </c>
      <c r="D47" s="22">
        <v>0.1229</v>
      </c>
      <c r="E47" s="16" t="s">
        <v>432</v>
      </c>
      <c r="F47" s="16">
        <v>80.5</v>
      </c>
      <c r="G47" s="16">
        <v>1130</v>
      </c>
    </row>
    <row r="48" spans="1:7" ht="12.75">
      <c r="A48" s="20" t="s">
        <v>277</v>
      </c>
      <c r="B48" s="16">
        <v>1.78</v>
      </c>
      <c r="C48" s="22">
        <v>0.0008</v>
      </c>
      <c r="D48" s="22">
        <v>0.0662</v>
      </c>
      <c r="E48" s="22" t="s">
        <v>432</v>
      </c>
      <c r="F48" s="16">
        <v>171</v>
      </c>
      <c r="G48" s="16">
        <v>1130</v>
      </c>
    </row>
    <row r="49" spans="1:7" ht="12.75">
      <c r="A49" s="69" t="s">
        <v>277</v>
      </c>
      <c r="B49" s="133">
        <v>1.9</v>
      </c>
      <c r="C49" s="134">
        <v>0.0008</v>
      </c>
      <c r="D49" s="134">
        <v>0.023399999999999997</v>
      </c>
      <c r="E49" s="133" t="s">
        <v>436</v>
      </c>
      <c r="F49" s="133">
        <v>171</v>
      </c>
      <c r="G49" s="133">
        <v>1130</v>
      </c>
    </row>
    <row r="50" spans="1:7" ht="12.75">
      <c r="A50" s="1" t="s">
        <v>126</v>
      </c>
      <c r="B50" s="2">
        <v>1.35</v>
      </c>
      <c r="C50" s="4">
        <v>0.0013000000000000002</v>
      </c>
      <c r="D50" s="4">
        <v>0.3032</v>
      </c>
      <c r="E50" s="2" t="s">
        <v>431</v>
      </c>
      <c r="F50" s="2">
        <v>68.8</v>
      </c>
      <c r="G50" s="2">
        <v>1127</v>
      </c>
    </row>
    <row r="51" spans="1:7" ht="12.75">
      <c r="A51" s="20" t="s">
        <v>269</v>
      </c>
      <c r="B51" s="16">
        <v>1.85</v>
      </c>
      <c r="C51" s="22">
        <v>0.0028</v>
      </c>
      <c r="D51" s="22">
        <v>0.047</v>
      </c>
      <c r="E51" s="22" t="s">
        <v>432</v>
      </c>
      <c r="F51" s="16">
        <v>166</v>
      </c>
      <c r="G51" s="16">
        <v>1110</v>
      </c>
    </row>
    <row r="52" spans="1:7" ht="12.75">
      <c r="A52" s="1" t="s">
        <v>54</v>
      </c>
      <c r="B52" s="2">
        <v>1.27</v>
      </c>
      <c r="C52" s="4">
        <v>0.0012000000000000001</v>
      </c>
      <c r="D52" s="4">
        <v>0.34600000000000003</v>
      </c>
      <c r="E52" s="2" t="s">
        <v>431</v>
      </c>
      <c r="F52" s="2">
        <v>45</v>
      </c>
      <c r="G52" s="2">
        <v>1100</v>
      </c>
    </row>
    <row r="53" spans="1:7" ht="12.75">
      <c r="A53" s="1" t="s">
        <v>119</v>
      </c>
      <c r="B53" s="2">
        <v>1.38</v>
      </c>
      <c r="C53" s="4">
        <v>0.0023</v>
      </c>
      <c r="D53" s="4">
        <v>0.2887</v>
      </c>
      <c r="E53" s="2" t="s">
        <v>431</v>
      </c>
      <c r="F53" s="2">
        <v>60</v>
      </c>
      <c r="G53" s="2">
        <v>1100</v>
      </c>
    </row>
    <row r="54" spans="1:7" ht="12.75">
      <c r="A54" s="20" t="s">
        <v>295</v>
      </c>
      <c r="B54" s="16">
        <v>1.56</v>
      </c>
      <c r="C54" s="22">
        <v>0.0016</v>
      </c>
      <c r="D54" s="22">
        <v>0.1367</v>
      </c>
      <c r="E54" s="22" t="s">
        <v>432</v>
      </c>
      <c r="F54" s="16">
        <v>178</v>
      </c>
      <c r="G54" s="16">
        <v>1100</v>
      </c>
    </row>
    <row r="55" spans="1:7" ht="12.75">
      <c r="A55" s="69" t="s">
        <v>295</v>
      </c>
      <c r="B55" s="133">
        <v>1.62</v>
      </c>
      <c r="C55" s="134">
        <v>0.0007</v>
      </c>
      <c r="D55" s="134">
        <v>0.08929999999999999</v>
      </c>
      <c r="E55" s="133" t="s">
        <v>436</v>
      </c>
      <c r="F55" s="133">
        <v>178</v>
      </c>
      <c r="G55" s="133">
        <v>1100</v>
      </c>
    </row>
    <row r="56" spans="1:7" ht="12.75">
      <c r="A56" s="20" t="s">
        <v>191</v>
      </c>
      <c r="B56" s="16">
        <v>1.65</v>
      </c>
      <c r="C56" s="22">
        <v>0.0018000000000000002</v>
      </c>
      <c r="D56" s="22">
        <v>0.1079</v>
      </c>
      <c r="E56" s="22" t="s">
        <v>432</v>
      </c>
      <c r="F56" s="16">
        <v>95</v>
      </c>
      <c r="G56" s="16">
        <v>1090</v>
      </c>
    </row>
    <row r="57" spans="1:7" ht="12.75">
      <c r="A57" s="1" t="s">
        <v>24</v>
      </c>
      <c r="B57" s="2">
        <v>1.34</v>
      </c>
      <c r="C57" s="4">
        <v>0.0006000000000000001</v>
      </c>
      <c r="D57" s="4">
        <v>0.30760000000000004</v>
      </c>
      <c r="E57" s="2" t="s">
        <v>431</v>
      </c>
      <c r="F57" s="2">
        <v>22.5</v>
      </c>
      <c r="G57" s="2">
        <v>1080</v>
      </c>
    </row>
    <row r="58" spans="1:7" ht="12.75">
      <c r="A58" s="129" t="s">
        <v>216</v>
      </c>
      <c r="B58" s="130">
        <v>1.7000000000000002</v>
      </c>
      <c r="C58" s="131">
        <v>0.00030000000000000003</v>
      </c>
      <c r="D58" s="131">
        <v>0.09050000000000001</v>
      </c>
      <c r="E58" s="131" t="s">
        <v>432</v>
      </c>
      <c r="F58" s="16">
        <v>109</v>
      </c>
      <c r="G58" s="16">
        <v>1050</v>
      </c>
    </row>
    <row r="59" spans="1:7" ht="12.75">
      <c r="A59" s="132" t="s">
        <v>216</v>
      </c>
      <c r="B59" s="133">
        <v>1.81</v>
      </c>
      <c r="C59" s="134">
        <v>0</v>
      </c>
      <c r="D59" s="134">
        <v>0.0433</v>
      </c>
      <c r="E59" s="133" t="s">
        <v>436</v>
      </c>
      <c r="F59" s="133">
        <v>109</v>
      </c>
      <c r="G59" s="133">
        <v>1050</v>
      </c>
    </row>
    <row r="60" spans="1:7" ht="12.75">
      <c r="A60" s="20" t="s">
        <v>226</v>
      </c>
      <c r="B60" s="16">
        <v>1.81</v>
      </c>
      <c r="C60" s="22">
        <v>0.0013000000000000002</v>
      </c>
      <c r="D60" s="22">
        <v>0.0576</v>
      </c>
      <c r="E60" s="22" t="s">
        <v>432</v>
      </c>
      <c r="F60" s="16">
        <v>129</v>
      </c>
      <c r="G60" s="16">
        <v>1040</v>
      </c>
    </row>
    <row r="61" spans="1:7" ht="12.75">
      <c r="A61" s="20" t="s">
        <v>176</v>
      </c>
      <c r="B61" s="16">
        <v>1.52</v>
      </c>
      <c r="C61" s="22">
        <v>0.0008</v>
      </c>
      <c r="D61" s="22">
        <v>0.149</v>
      </c>
      <c r="E61" s="16" t="s">
        <v>432</v>
      </c>
      <c r="F61" s="16">
        <v>80.5</v>
      </c>
      <c r="G61" s="16">
        <v>1000</v>
      </c>
    </row>
    <row r="62" spans="1:7" ht="12.75">
      <c r="A62" s="20" t="s">
        <v>252</v>
      </c>
      <c r="B62" s="16">
        <v>1.53</v>
      </c>
      <c r="C62" s="22">
        <v>0.0007</v>
      </c>
      <c r="D62" s="22">
        <v>0.14550000000000002</v>
      </c>
      <c r="E62" s="22" t="s">
        <v>432</v>
      </c>
      <c r="F62" s="16">
        <v>141</v>
      </c>
      <c r="G62" s="16">
        <v>1000</v>
      </c>
    </row>
    <row r="63" spans="1:7" ht="12.75">
      <c r="A63" s="69" t="s">
        <v>252</v>
      </c>
      <c r="B63" s="133">
        <v>1.63</v>
      </c>
      <c r="C63" s="134">
        <v>0.001</v>
      </c>
      <c r="D63" s="134">
        <v>0.0872</v>
      </c>
      <c r="E63" s="133" t="s">
        <v>436</v>
      </c>
      <c r="F63" s="133">
        <v>141</v>
      </c>
      <c r="G63" s="133">
        <v>1000</v>
      </c>
    </row>
    <row r="64" spans="1:7" ht="12.75">
      <c r="A64" s="20" t="s">
        <v>309</v>
      </c>
      <c r="B64" s="16">
        <v>1.56</v>
      </c>
      <c r="C64" s="22">
        <v>0.0024000000000000002</v>
      </c>
      <c r="D64" s="22">
        <v>0.1376</v>
      </c>
      <c r="E64" s="22" t="s">
        <v>432</v>
      </c>
      <c r="F64" s="16">
        <v>210</v>
      </c>
      <c r="G64" s="16">
        <v>980</v>
      </c>
    </row>
    <row r="65" spans="1:7" ht="12.75">
      <c r="A65" s="69" t="s">
        <v>309</v>
      </c>
      <c r="B65" s="133">
        <v>1.58</v>
      </c>
      <c r="C65" s="134">
        <v>0.002</v>
      </c>
      <c r="D65" s="134">
        <v>0.1005</v>
      </c>
      <c r="E65" s="133" t="s">
        <v>436</v>
      </c>
      <c r="F65" s="133">
        <v>210</v>
      </c>
      <c r="G65" s="133">
        <v>980</v>
      </c>
    </row>
    <row r="66" spans="1:7" ht="12.75">
      <c r="A66" s="20" t="s">
        <v>236</v>
      </c>
      <c r="B66" s="16">
        <v>1.65</v>
      </c>
      <c r="C66" s="22">
        <v>0.002</v>
      </c>
      <c r="D66" s="22">
        <v>0.1082</v>
      </c>
      <c r="E66" s="22" t="s">
        <v>432</v>
      </c>
      <c r="F66" s="16">
        <v>138</v>
      </c>
      <c r="G66" s="16">
        <v>970</v>
      </c>
    </row>
    <row r="67" spans="1:7" ht="12.75">
      <c r="A67" s="69" t="s">
        <v>236</v>
      </c>
      <c r="B67" s="133">
        <v>1.83</v>
      </c>
      <c r="C67" s="134">
        <v>0.00030000000000000003</v>
      </c>
      <c r="D67" s="134">
        <v>0.039</v>
      </c>
      <c r="E67" s="133" t="s">
        <v>436</v>
      </c>
      <c r="F67" s="133">
        <v>138</v>
      </c>
      <c r="G67" s="133">
        <v>970</v>
      </c>
    </row>
    <row r="68" spans="1:7" ht="12.75">
      <c r="A68" s="1" t="s">
        <v>85</v>
      </c>
      <c r="B68" s="2">
        <v>1.47</v>
      </c>
      <c r="C68" s="4">
        <v>0.0014</v>
      </c>
      <c r="D68" s="4">
        <v>0.2414</v>
      </c>
      <c r="E68" s="2" t="s">
        <v>431</v>
      </c>
      <c r="F68" s="2">
        <v>58</v>
      </c>
      <c r="G68" s="2">
        <v>960</v>
      </c>
    </row>
    <row r="69" spans="1:7" ht="12.75">
      <c r="A69" s="20" t="s">
        <v>85</v>
      </c>
      <c r="B69" s="16">
        <v>1.46</v>
      </c>
      <c r="C69" s="22">
        <v>0.0006000000000000001</v>
      </c>
      <c r="D69" s="22">
        <v>0.16879999999999998</v>
      </c>
      <c r="E69" s="16" t="s">
        <v>432</v>
      </c>
      <c r="F69" s="16">
        <v>58</v>
      </c>
      <c r="G69" s="16">
        <v>960</v>
      </c>
    </row>
    <row r="70" spans="1:7" ht="12.75">
      <c r="A70" s="1" t="s">
        <v>147</v>
      </c>
      <c r="B70" s="2">
        <v>1.45</v>
      </c>
      <c r="C70" s="4">
        <v>0.0012000000000000001</v>
      </c>
      <c r="D70" s="4">
        <v>0.25129999999999997</v>
      </c>
      <c r="E70" s="2" t="s">
        <v>431</v>
      </c>
      <c r="F70" s="2">
        <v>72</v>
      </c>
      <c r="G70" s="2">
        <v>960</v>
      </c>
    </row>
    <row r="71" spans="1:7" ht="12.75">
      <c r="A71" s="1" t="s">
        <v>121</v>
      </c>
      <c r="B71" s="2">
        <v>1.36</v>
      </c>
      <c r="C71" s="4">
        <v>0.0032</v>
      </c>
      <c r="D71" s="4">
        <v>0.3004</v>
      </c>
      <c r="E71" s="2" t="s">
        <v>431</v>
      </c>
      <c r="F71" s="2">
        <v>61</v>
      </c>
      <c r="G71" s="2">
        <v>950</v>
      </c>
    </row>
    <row r="72" spans="1:7" ht="12.75">
      <c r="A72" s="20" t="s">
        <v>121</v>
      </c>
      <c r="B72" s="16">
        <v>1.44</v>
      </c>
      <c r="C72" s="22">
        <v>0.0006000000000000001</v>
      </c>
      <c r="D72" s="22">
        <v>0.17550000000000002</v>
      </c>
      <c r="E72" s="16" t="s">
        <v>432</v>
      </c>
      <c r="F72" s="16">
        <v>61</v>
      </c>
      <c r="G72" s="16">
        <v>950</v>
      </c>
    </row>
    <row r="73" spans="1:7" ht="12.75">
      <c r="A73" s="20" t="s">
        <v>296</v>
      </c>
      <c r="B73" s="16">
        <v>1.53</v>
      </c>
      <c r="C73" s="22">
        <v>0.0012000000000000001</v>
      </c>
      <c r="D73" s="22">
        <v>0.1462</v>
      </c>
      <c r="E73" s="22" t="s">
        <v>432</v>
      </c>
      <c r="F73" s="16">
        <v>178</v>
      </c>
      <c r="G73" s="16">
        <v>950</v>
      </c>
    </row>
    <row r="74" spans="1:7" ht="12.75">
      <c r="A74" s="69" t="s">
        <v>296</v>
      </c>
      <c r="B74" s="133">
        <v>1.62</v>
      </c>
      <c r="C74" s="134">
        <v>0.0007</v>
      </c>
      <c r="D74" s="134">
        <v>0.0892</v>
      </c>
      <c r="E74" s="133" t="s">
        <v>436</v>
      </c>
      <c r="F74" s="133">
        <v>178</v>
      </c>
      <c r="G74" s="133">
        <v>950</v>
      </c>
    </row>
    <row r="75" spans="1:7" ht="12.75">
      <c r="A75" s="79" t="s">
        <v>296</v>
      </c>
      <c r="B75" s="80">
        <v>1.7000000000000002</v>
      </c>
      <c r="C75" s="82">
        <v>0.0004</v>
      </c>
      <c r="D75" s="82">
        <v>0.0567</v>
      </c>
      <c r="E75" s="80" t="s">
        <v>437</v>
      </c>
      <c r="F75" s="80">
        <v>178</v>
      </c>
      <c r="G75" s="80">
        <v>950</v>
      </c>
    </row>
    <row r="76" spans="1:7" ht="12.75">
      <c r="A76" s="20" t="s">
        <v>187</v>
      </c>
      <c r="B76" s="16">
        <v>1.47</v>
      </c>
      <c r="C76" s="22">
        <v>0.0005</v>
      </c>
      <c r="D76" s="22">
        <v>0.16519999999999999</v>
      </c>
      <c r="E76" s="16" t="s">
        <v>432</v>
      </c>
      <c r="F76" s="16">
        <v>88</v>
      </c>
      <c r="G76" s="16">
        <v>940</v>
      </c>
    </row>
    <row r="77" spans="1:7" ht="12.75">
      <c r="A77" s="20" t="s">
        <v>279</v>
      </c>
      <c r="B77" s="16">
        <v>1.66</v>
      </c>
      <c r="C77" s="22">
        <v>0.0026000000000000003</v>
      </c>
      <c r="D77" s="22">
        <v>0.1056</v>
      </c>
      <c r="E77" s="22" t="s">
        <v>432</v>
      </c>
      <c r="F77" s="16">
        <v>171</v>
      </c>
      <c r="G77" s="16">
        <v>930</v>
      </c>
    </row>
    <row r="78" spans="1:7" ht="12.75">
      <c r="A78" s="69" t="s">
        <v>279</v>
      </c>
      <c r="B78" s="133">
        <v>1.6800000000000002</v>
      </c>
      <c r="C78" s="134">
        <v>0.00030000000000000003</v>
      </c>
      <c r="D78" s="134">
        <v>0.07440000000000001</v>
      </c>
      <c r="E78" s="133" t="s">
        <v>436</v>
      </c>
      <c r="F78" s="133">
        <v>171</v>
      </c>
      <c r="G78" s="133">
        <v>930</v>
      </c>
    </row>
    <row r="79" spans="1:7" ht="12.75">
      <c r="A79" s="79" t="s">
        <v>279</v>
      </c>
      <c r="B79" s="80">
        <v>1.83</v>
      </c>
      <c r="C79" s="82">
        <v>0.0007</v>
      </c>
      <c r="D79" s="82">
        <v>0.0322</v>
      </c>
      <c r="E79" s="80" t="s">
        <v>437</v>
      </c>
      <c r="F79" s="80">
        <v>171</v>
      </c>
      <c r="G79" s="80">
        <v>930</v>
      </c>
    </row>
    <row r="80" spans="1:7" ht="12.75">
      <c r="A80" s="1" t="s">
        <v>129</v>
      </c>
      <c r="B80" s="2">
        <v>1.43</v>
      </c>
      <c r="C80" s="4">
        <v>1E-05</v>
      </c>
      <c r="D80" s="4">
        <v>0.2613</v>
      </c>
      <c r="E80" s="2" t="s">
        <v>431</v>
      </c>
      <c r="F80" s="2">
        <v>68.8</v>
      </c>
      <c r="G80" s="2">
        <v>900</v>
      </c>
    </row>
    <row r="81" spans="1:7" ht="12.75">
      <c r="A81" s="20" t="s">
        <v>129</v>
      </c>
      <c r="B81" s="16">
        <v>1.45</v>
      </c>
      <c r="C81" s="22">
        <v>0.0007</v>
      </c>
      <c r="D81" s="22">
        <v>0.0682</v>
      </c>
      <c r="E81" s="16" t="s">
        <v>432</v>
      </c>
      <c r="F81" s="16">
        <v>68.8</v>
      </c>
      <c r="G81" s="16">
        <v>900</v>
      </c>
    </row>
    <row r="82" spans="1:7" ht="12.75">
      <c r="A82" s="20" t="s">
        <v>271</v>
      </c>
      <c r="B82" s="16">
        <v>1.62</v>
      </c>
      <c r="C82" s="22">
        <v>0.00030000000000000003</v>
      </c>
      <c r="D82" s="22">
        <v>0.1158</v>
      </c>
      <c r="E82" s="22" t="s">
        <v>432</v>
      </c>
      <c r="F82" s="16">
        <v>166</v>
      </c>
      <c r="G82" s="16">
        <v>890</v>
      </c>
    </row>
    <row r="83" spans="1:7" ht="12.75">
      <c r="A83" s="69" t="s">
        <v>271</v>
      </c>
      <c r="B83" s="133">
        <v>1.82</v>
      </c>
      <c r="C83" s="134">
        <v>0.0013000000000000002</v>
      </c>
      <c r="D83" s="134">
        <v>0.0424</v>
      </c>
      <c r="E83" s="133" t="s">
        <v>436</v>
      </c>
      <c r="F83" s="133">
        <v>166</v>
      </c>
      <c r="G83" s="133">
        <v>890</v>
      </c>
    </row>
    <row r="84" spans="1:7" ht="12.75">
      <c r="A84" s="20" t="s">
        <v>304</v>
      </c>
      <c r="B84" s="16">
        <v>1.78</v>
      </c>
      <c r="C84" s="22">
        <v>0.002</v>
      </c>
      <c r="D84" s="22">
        <v>0.0674</v>
      </c>
      <c r="E84" s="22" t="s">
        <v>432</v>
      </c>
      <c r="F84" s="16">
        <v>205</v>
      </c>
      <c r="G84" s="16">
        <v>890</v>
      </c>
    </row>
    <row r="85" spans="1:7" ht="12.75">
      <c r="A85" s="1" t="s">
        <v>90</v>
      </c>
      <c r="B85" s="2">
        <v>1.32</v>
      </c>
      <c r="C85" s="4">
        <v>0.0023</v>
      </c>
      <c r="D85" s="4">
        <v>0.32049999999999995</v>
      </c>
      <c r="E85" s="2" t="s">
        <v>431</v>
      </c>
      <c r="F85" s="2">
        <v>58</v>
      </c>
      <c r="G85" s="2">
        <v>885</v>
      </c>
    </row>
    <row r="86" spans="1:7" ht="12.75">
      <c r="A86" s="20" t="s">
        <v>90</v>
      </c>
      <c r="B86" s="16">
        <v>1.37</v>
      </c>
      <c r="C86" s="22">
        <v>0.0015</v>
      </c>
      <c r="D86" s="22">
        <v>0.2005</v>
      </c>
      <c r="E86" s="16" t="s">
        <v>432</v>
      </c>
      <c r="F86" s="16">
        <v>58</v>
      </c>
      <c r="G86" s="16">
        <v>885</v>
      </c>
    </row>
    <row r="87" spans="1:7" ht="12.75">
      <c r="A87" s="20" t="s">
        <v>220</v>
      </c>
      <c r="B87" s="16">
        <v>1.58</v>
      </c>
      <c r="C87" s="22">
        <v>0.0015</v>
      </c>
      <c r="D87" s="22">
        <v>0.1301</v>
      </c>
      <c r="E87" s="22" t="s">
        <v>432</v>
      </c>
      <c r="F87" s="16">
        <v>109</v>
      </c>
      <c r="G87" s="16">
        <v>850</v>
      </c>
    </row>
    <row r="88" spans="1:7" ht="12.75">
      <c r="A88" s="69" t="s">
        <v>220</v>
      </c>
      <c r="B88" s="133">
        <v>1.72</v>
      </c>
      <c r="C88" s="134">
        <v>0.0005</v>
      </c>
      <c r="D88" s="134">
        <v>0.065</v>
      </c>
      <c r="E88" s="133" t="s">
        <v>436</v>
      </c>
      <c r="F88" s="133">
        <v>109</v>
      </c>
      <c r="G88" s="133">
        <v>850</v>
      </c>
    </row>
    <row r="89" spans="1:7" ht="12.75">
      <c r="A89" s="20" t="s">
        <v>369</v>
      </c>
      <c r="B89" s="16">
        <v>1.73</v>
      </c>
      <c r="C89" s="22">
        <v>0.0005</v>
      </c>
      <c r="D89" s="22">
        <v>0.08130000000000001</v>
      </c>
      <c r="E89" s="22" t="s">
        <v>432</v>
      </c>
      <c r="F89" s="16">
        <v>293</v>
      </c>
      <c r="G89" s="16">
        <v>850</v>
      </c>
    </row>
    <row r="90" spans="1:7" ht="12.75">
      <c r="A90" s="69" t="s">
        <v>369</v>
      </c>
      <c r="B90" s="133">
        <v>1.81</v>
      </c>
      <c r="C90" s="134">
        <v>0.0012000000000000001</v>
      </c>
      <c r="D90" s="134">
        <v>0.0446</v>
      </c>
      <c r="E90" s="133" t="s">
        <v>436</v>
      </c>
      <c r="F90" s="133">
        <v>293</v>
      </c>
      <c r="G90" s="133">
        <v>850</v>
      </c>
    </row>
    <row r="91" spans="1:7" ht="12.75">
      <c r="A91" s="20" t="s">
        <v>240</v>
      </c>
      <c r="B91" s="16">
        <v>1.59</v>
      </c>
      <c r="C91" s="22">
        <v>0.0027</v>
      </c>
      <c r="D91" s="22">
        <v>0.1282</v>
      </c>
      <c r="E91" s="22" t="s">
        <v>432</v>
      </c>
      <c r="F91" s="16">
        <v>140</v>
      </c>
      <c r="G91" s="16">
        <v>840</v>
      </c>
    </row>
    <row r="92" spans="1:7" ht="12.75">
      <c r="A92" s="69" t="s">
        <v>240</v>
      </c>
      <c r="B92" s="133">
        <v>1.73</v>
      </c>
      <c r="C92" s="134">
        <v>0.0014</v>
      </c>
      <c r="D92" s="134">
        <v>0.0636</v>
      </c>
      <c r="E92" s="133" t="s">
        <v>436</v>
      </c>
      <c r="F92" s="133">
        <v>140</v>
      </c>
      <c r="G92" s="133">
        <v>840</v>
      </c>
    </row>
    <row r="93" spans="1:7" ht="12.75">
      <c r="A93" s="79" t="s">
        <v>240</v>
      </c>
      <c r="B93" s="80">
        <v>1.88</v>
      </c>
      <c r="C93" s="82">
        <v>0.0009000000000000001</v>
      </c>
      <c r="D93" s="82">
        <v>0.0231</v>
      </c>
      <c r="E93" s="80" t="s">
        <v>437</v>
      </c>
      <c r="F93" s="80">
        <v>140</v>
      </c>
      <c r="G93" s="80">
        <v>840</v>
      </c>
    </row>
    <row r="94" spans="1:7" ht="12.75">
      <c r="A94" s="20" t="s">
        <v>227</v>
      </c>
      <c r="B94" s="16">
        <v>1.82</v>
      </c>
      <c r="C94" s="22">
        <v>0.0019</v>
      </c>
      <c r="D94" s="22">
        <v>0.055099999999999996</v>
      </c>
      <c r="E94" s="22" t="s">
        <v>432</v>
      </c>
      <c r="F94" s="16">
        <v>129</v>
      </c>
      <c r="G94" s="16">
        <v>830</v>
      </c>
    </row>
    <row r="95" spans="1:7" ht="12.75">
      <c r="A95" s="20" t="s">
        <v>255</v>
      </c>
      <c r="B95" s="16">
        <v>1.51</v>
      </c>
      <c r="C95" s="22">
        <v>0.0015</v>
      </c>
      <c r="D95" s="22">
        <v>0.1531</v>
      </c>
      <c r="E95" s="22" t="s">
        <v>432</v>
      </c>
      <c r="F95" s="16">
        <v>141</v>
      </c>
      <c r="G95" s="16">
        <v>820</v>
      </c>
    </row>
    <row r="96" spans="1:7" ht="12.75">
      <c r="A96" s="69" t="s">
        <v>255</v>
      </c>
      <c r="B96" s="133">
        <v>1.58</v>
      </c>
      <c r="C96" s="134">
        <v>0.0001</v>
      </c>
      <c r="D96" s="134">
        <v>0.0984</v>
      </c>
      <c r="E96" s="133" t="s">
        <v>436</v>
      </c>
      <c r="F96" s="133">
        <v>141</v>
      </c>
      <c r="G96" s="133">
        <v>820</v>
      </c>
    </row>
    <row r="97" spans="1:7" ht="12.75">
      <c r="A97" s="20" t="s">
        <v>311</v>
      </c>
      <c r="B97" s="16">
        <v>1.56</v>
      </c>
      <c r="C97" s="22">
        <v>0.002</v>
      </c>
      <c r="D97" s="22">
        <v>0.13720000000000002</v>
      </c>
      <c r="E97" s="22" t="s">
        <v>432</v>
      </c>
      <c r="F97" s="16">
        <v>216</v>
      </c>
      <c r="G97" s="16">
        <v>820</v>
      </c>
    </row>
    <row r="98" spans="1:7" ht="12.75">
      <c r="A98" s="69" t="s">
        <v>311</v>
      </c>
      <c r="B98" s="133">
        <v>1.6</v>
      </c>
      <c r="C98" s="134">
        <v>0.0014</v>
      </c>
      <c r="D98" s="134">
        <v>0.0949</v>
      </c>
      <c r="E98" s="133" t="s">
        <v>436</v>
      </c>
      <c r="F98" s="133">
        <v>216</v>
      </c>
      <c r="G98" s="133">
        <v>820</v>
      </c>
    </row>
    <row r="99" spans="1:7" ht="12.75">
      <c r="A99" s="20" t="s">
        <v>272</v>
      </c>
      <c r="B99" s="16">
        <v>1.79</v>
      </c>
      <c r="C99" s="22">
        <v>0.0011</v>
      </c>
      <c r="D99" s="22">
        <v>0.0635</v>
      </c>
      <c r="E99" s="22" t="s">
        <v>432</v>
      </c>
      <c r="F99" s="16">
        <v>166</v>
      </c>
      <c r="G99" s="16">
        <v>780</v>
      </c>
    </row>
    <row r="100" spans="1:7" ht="12.75">
      <c r="A100" s="69" t="s">
        <v>272</v>
      </c>
      <c r="B100" s="133">
        <v>1.84</v>
      </c>
      <c r="C100" s="134">
        <v>0.0014</v>
      </c>
      <c r="D100" s="134">
        <v>0.0378</v>
      </c>
      <c r="E100" s="133" t="s">
        <v>436</v>
      </c>
      <c r="F100" s="133">
        <v>166</v>
      </c>
      <c r="G100" s="133">
        <v>780</v>
      </c>
    </row>
    <row r="101" spans="1:7" ht="12.75">
      <c r="A101" s="20" t="s">
        <v>326</v>
      </c>
      <c r="B101" s="16">
        <v>1.57</v>
      </c>
      <c r="C101" s="22">
        <v>0.0012000000000000001</v>
      </c>
      <c r="D101" s="22">
        <v>0.1331</v>
      </c>
      <c r="E101" s="22" t="s">
        <v>432</v>
      </c>
      <c r="F101" s="16">
        <v>253</v>
      </c>
      <c r="G101" s="16">
        <v>780</v>
      </c>
    </row>
    <row r="102" spans="1:7" ht="12.75">
      <c r="A102" s="69" t="s">
        <v>326</v>
      </c>
      <c r="B102" s="133">
        <v>1.63</v>
      </c>
      <c r="C102" s="134">
        <v>0.0012000000000000001</v>
      </c>
      <c r="D102" s="134">
        <v>0.0874</v>
      </c>
      <c r="E102" s="133" t="s">
        <v>436</v>
      </c>
      <c r="F102" s="133">
        <v>253</v>
      </c>
      <c r="G102" s="133">
        <v>780</v>
      </c>
    </row>
    <row r="103" spans="1:7" ht="12.75">
      <c r="A103" s="79" t="s">
        <v>328</v>
      </c>
      <c r="B103" s="80">
        <v>1.6800000000000002</v>
      </c>
      <c r="C103" s="82">
        <v>0.001</v>
      </c>
      <c r="D103" s="82">
        <v>0.0611</v>
      </c>
      <c r="E103" s="80" t="s">
        <v>437</v>
      </c>
      <c r="F103" s="80">
        <v>253</v>
      </c>
      <c r="G103" s="80">
        <v>780</v>
      </c>
    </row>
    <row r="104" spans="1:7" ht="12.75">
      <c r="A104" s="20" t="s">
        <v>282</v>
      </c>
      <c r="B104" s="16">
        <v>1.6</v>
      </c>
      <c r="C104" s="22">
        <v>0.00030000000000000003</v>
      </c>
      <c r="D104" s="22">
        <v>0.1223</v>
      </c>
      <c r="E104" s="22" t="s">
        <v>432</v>
      </c>
      <c r="F104" s="16">
        <v>171</v>
      </c>
      <c r="G104" s="16">
        <v>760</v>
      </c>
    </row>
    <row r="105" spans="1:7" ht="12.75">
      <c r="A105" s="69" t="s">
        <v>282</v>
      </c>
      <c r="B105" s="133">
        <v>1.69</v>
      </c>
      <c r="C105" s="134">
        <v>0.0018000000000000002</v>
      </c>
      <c r="D105" s="134">
        <v>0.0736</v>
      </c>
      <c r="E105" s="133" t="s">
        <v>436</v>
      </c>
      <c r="F105" s="133">
        <v>171</v>
      </c>
      <c r="G105" s="133">
        <v>760</v>
      </c>
    </row>
    <row r="106" spans="1:7" ht="12.75">
      <c r="A106" s="79" t="s">
        <v>282</v>
      </c>
      <c r="B106" s="80">
        <v>1.79</v>
      </c>
      <c r="C106" s="82">
        <v>0.0017000000000000001</v>
      </c>
      <c r="D106" s="82">
        <v>0.0408</v>
      </c>
      <c r="E106" s="80" t="s">
        <v>437</v>
      </c>
      <c r="F106" s="80">
        <v>171</v>
      </c>
      <c r="G106" s="80">
        <v>760</v>
      </c>
    </row>
    <row r="107" spans="1:7" ht="12.75">
      <c r="A107" s="20" t="s">
        <v>298</v>
      </c>
      <c r="B107" s="16">
        <v>1.51</v>
      </c>
      <c r="C107" s="22">
        <v>0.0007</v>
      </c>
      <c r="D107" s="22">
        <v>0.1522</v>
      </c>
      <c r="E107" s="22" t="s">
        <v>432</v>
      </c>
      <c r="F107" s="16">
        <v>178</v>
      </c>
      <c r="G107" s="16">
        <v>740</v>
      </c>
    </row>
    <row r="108" spans="1:7" ht="12.75">
      <c r="A108" s="69" t="s">
        <v>298</v>
      </c>
      <c r="B108" s="133">
        <v>1.55</v>
      </c>
      <c r="C108" s="134">
        <v>0.002</v>
      </c>
      <c r="D108" s="134">
        <v>0.10779999999999999</v>
      </c>
      <c r="E108" s="133" t="s">
        <v>436</v>
      </c>
      <c r="F108" s="133">
        <v>178</v>
      </c>
      <c r="G108" s="133">
        <v>740</v>
      </c>
    </row>
    <row r="109" spans="1:7" ht="12.75">
      <c r="A109" s="79" t="s">
        <v>298</v>
      </c>
      <c r="B109" s="80">
        <v>1.63</v>
      </c>
      <c r="C109" s="82">
        <v>0.0011</v>
      </c>
      <c r="D109" s="82">
        <v>0.079</v>
      </c>
      <c r="E109" s="80" t="s">
        <v>437</v>
      </c>
      <c r="F109" s="80">
        <v>178</v>
      </c>
      <c r="G109" s="80">
        <v>740</v>
      </c>
    </row>
    <row r="110" spans="1:7" ht="12.75">
      <c r="A110" s="20" t="s">
        <v>307</v>
      </c>
      <c r="B110" s="16">
        <v>1.67</v>
      </c>
      <c r="C110" s="22">
        <v>0.0022</v>
      </c>
      <c r="D110" s="22">
        <v>0.102</v>
      </c>
      <c r="E110" s="22" t="s">
        <v>432</v>
      </c>
      <c r="F110" s="16">
        <v>205</v>
      </c>
      <c r="G110" s="16">
        <v>710</v>
      </c>
    </row>
    <row r="111" spans="1:7" ht="12.75">
      <c r="A111" s="69" t="s">
        <v>307</v>
      </c>
      <c r="B111" s="133">
        <v>1.81</v>
      </c>
      <c r="C111" s="134">
        <v>0.002</v>
      </c>
      <c r="D111" s="134">
        <v>0.0454</v>
      </c>
      <c r="E111" s="133" t="s">
        <v>436</v>
      </c>
      <c r="F111" s="133">
        <v>205</v>
      </c>
      <c r="G111" s="133">
        <v>710</v>
      </c>
    </row>
    <row r="112" spans="1:7" ht="12.75">
      <c r="A112" s="69" t="s">
        <v>372</v>
      </c>
      <c r="B112" s="133">
        <v>1.77</v>
      </c>
      <c r="C112" s="134">
        <v>0.0018000000000000002</v>
      </c>
      <c r="D112" s="134">
        <v>0.0546</v>
      </c>
      <c r="E112" s="133" t="s">
        <v>436</v>
      </c>
      <c r="F112" s="133">
        <v>293</v>
      </c>
      <c r="G112" s="133">
        <v>710</v>
      </c>
    </row>
    <row r="113" spans="1:7" ht="12.75">
      <c r="A113" s="79" t="s">
        <v>372</v>
      </c>
      <c r="B113" s="80">
        <v>1.77</v>
      </c>
      <c r="C113" s="82">
        <v>0.0001</v>
      </c>
      <c r="D113" s="82">
        <v>0.0429</v>
      </c>
      <c r="E113" s="82" t="s">
        <v>437</v>
      </c>
      <c r="F113" s="80">
        <v>293</v>
      </c>
      <c r="G113" s="80">
        <v>710</v>
      </c>
    </row>
    <row r="114" spans="1:7" ht="12.75">
      <c r="A114" s="20" t="s">
        <v>315</v>
      </c>
      <c r="B114" s="16">
        <v>1.53</v>
      </c>
      <c r="C114" s="22">
        <v>0.0027</v>
      </c>
      <c r="D114" s="22">
        <v>0.1478</v>
      </c>
      <c r="E114" s="22" t="s">
        <v>432</v>
      </c>
      <c r="F114" s="16">
        <v>216</v>
      </c>
      <c r="G114" s="16">
        <v>700</v>
      </c>
    </row>
    <row r="115" spans="1:7" ht="12.75">
      <c r="A115" s="69" t="s">
        <v>315</v>
      </c>
      <c r="B115" s="133">
        <v>1.59</v>
      </c>
      <c r="C115" s="134">
        <v>0.0015</v>
      </c>
      <c r="D115" s="134">
        <v>0.0975</v>
      </c>
      <c r="E115" s="133" t="s">
        <v>436</v>
      </c>
      <c r="F115" s="133">
        <v>216</v>
      </c>
      <c r="G115" s="133">
        <v>700</v>
      </c>
    </row>
    <row r="116" spans="1:7" ht="12.75">
      <c r="A116" s="79" t="s">
        <v>315</v>
      </c>
      <c r="B116" s="80">
        <v>1.67</v>
      </c>
      <c r="C116" s="82">
        <v>0.0016</v>
      </c>
      <c r="D116" s="82">
        <v>0.0637</v>
      </c>
      <c r="E116" s="80" t="s">
        <v>437</v>
      </c>
      <c r="F116" s="80">
        <v>216</v>
      </c>
      <c r="G116" s="80">
        <v>700</v>
      </c>
    </row>
    <row r="117" spans="1:7" ht="12.75">
      <c r="A117" s="69" t="s">
        <v>329</v>
      </c>
      <c r="B117" s="133">
        <v>1.62</v>
      </c>
      <c r="C117" s="134">
        <v>0.0007</v>
      </c>
      <c r="D117" s="134">
        <v>0.08929999999999999</v>
      </c>
      <c r="E117" s="133" t="s">
        <v>436</v>
      </c>
      <c r="F117" s="133">
        <v>253</v>
      </c>
      <c r="G117" s="133">
        <v>650</v>
      </c>
    </row>
    <row r="118" spans="1:7" ht="12.75">
      <c r="A118" s="79" t="s">
        <v>329</v>
      </c>
      <c r="B118" s="80">
        <v>1.61</v>
      </c>
      <c r="C118" s="82">
        <v>0.0009000000000000001</v>
      </c>
      <c r="D118" s="82">
        <v>0.0747</v>
      </c>
      <c r="E118" s="80" t="s">
        <v>437</v>
      </c>
      <c r="F118" s="80">
        <v>253</v>
      </c>
      <c r="G118" s="80">
        <v>650</v>
      </c>
    </row>
    <row r="119" spans="1:7" ht="12.75">
      <c r="A119" s="69" t="s">
        <v>351</v>
      </c>
      <c r="B119" s="133">
        <v>1.79</v>
      </c>
      <c r="C119" s="134">
        <v>0.0017000000000000001</v>
      </c>
      <c r="D119" s="134">
        <v>0.049699999999999994</v>
      </c>
      <c r="E119" s="133" t="s">
        <v>436</v>
      </c>
      <c r="F119" s="133">
        <v>288</v>
      </c>
      <c r="G119" s="133">
        <v>630</v>
      </c>
    </row>
    <row r="120" spans="1:7" ht="12.75">
      <c r="A120" s="79" t="s">
        <v>351</v>
      </c>
      <c r="B120" s="80">
        <v>1.78</v>
      </c>
      <c r="C120" s="82">
        <v>0.0001</v>
      </c>
      <c r="D120" s="82">
        <v>0.040999999999999995</v>
      </c>
      <c r="E120" s="80" t="s">
        <v>437</v>
      </c>
      <c r="F120" s="80">
        <v>288</v>
      </c>
      <c r="G120" s="80">
        <v>630</v>
      </c>
    </row>
    <row r="121" spans="1:7" ht="12.75">
      <c r="A121" s="69" t="s">
        <v>375</v>
      </c>
      <c r="B121" s="133">
        <v>1.74</v>
      </c>
      <c r="C121" s="134">
        <v>0.0016</v>
      </c>
      <c r="D121" s="134">
        <v>0.061399999999999996</v>
      </c>
      <c r="E121" s="133" t="s">
        <v>436</v>
      </c>
      <c r="F121" s="133">
        <v>290</v>
      </c>
      <c r="G121" s="133">
        <v>610</v>
      </c>
    </row>
    <row r="122" spans="1:7" ht="12.75">
      <c r="A122" s="79" t="s">
        <v>375</v>
      </c>
      <c r="B122" s="80">
        <v>1.83</v>
      </c>
      <c r="C122" s="82">
        <v>0.0012000000000000001</v>
      </c>
      <c r="D122" s="82">
        <v>0.0328</v>
      </c>
      <c r="E122" s="82" t="s">
        <v>437</v>
      </c>
      <c r="F122" s="80">
        <v>290</v>
      </c>
      <c r="G122" s="80">
        <v>610</v>
      </c>
    </row>
    <row r="123" spans="1:7" ht="12.75">
      <c r="A123" s="69" t="s">
        <v>333</v>
      </c>
      <c r="B123" s="133">
        <v>1.57</v>
      </c>
      <c r="C123" s="134">
        <v>0</v>
      </c>
      <c r="D123" s="134">
        <v>0.1007</v>
      </c>
      <c r="E123" s="133">
        <v>10.07</v>
      </c>
      <c r="F123" s="133">
        <v>253</v>
      </c>
      <c r="G123" s="133">
        <v>560</v>
      </c>
    </row>
    <row r="124" spans="1:7" ht="12.75">
      <c r="A124" s="79" t="s">
        <v>333</v>
      </c>
      <c r="B124" s="80">
        <v>1.64</v>
      </c>
      <c r="C124" s="82">
        <v>0.0001</v>
      </c>
      <c r="D124" s="82">
        <v>0.0679</v>
      </c>
      <c r="E124" s="80" t="s">
        <v>437</v>
      </c>
      <c r="F124" s="80">
        <v>253</v>
      </c>
      <c r="G124" s="80">
        <v>560</v>
      </c>
    </row>
    <row r="125" spans="1:7" ht="12.75">
      <c r="A125" s="69" t="s">
        <v>323</v>
      </c>
      <c r="B125" s="133">
        <v>1.55</v>
      </c>
      <c r="C125" s="134">
        <v>0.0022</v>
      </c>
      <c r="D125" s="134">
        <v>0.1079</v>
      </c>
      <c r="E125" s="133" t="s">
        <v>436</v>
      </c>
      <c r="F125" s="133">
        <v>216</v>
      </c>
      <c r="G125" s="133">
        <v>550</v>
      </c>
    </row>
    <row r="126" spans="1:7" ht="12.75">
      <c r="A126" s="79" t="s">
        <v>323</v>
      </c>
      <c r="B126" s="80">
        <v>1.6</v>
      </c>
      <c r="C126" s="82">
        <v>0.0017000000000000001</v>
      </c>
      <c r="D126" s="82">
        <v>0.0774</v>
      </c>
      <c r="E126" s="80" t="s">
        <v>437</v>
      </c>
      <c r="F126" s="80">
        <v>216</v>
      </c>
      <c r="G126" s="80">
        <v>550</v>
      </c>
    </row>
    <row r="127" spans="1:7" ht="12.75">
      <c r="A127" s="69" t="s">
        <v>355</v>
      </c>
      <c r="B127" s="133">
        <v>1.71</v>
      </c>
      <c r="C127" s="134">
        <v>0.0001</v>
      </c>
      <c r="D127" s="134">
        <v>0.067</v>
      </c>
      <c r="E127" s="133" t="s">
        <v>436</v>
      </c>
      <c r="F127" s="133">
        <v>288</v>
      </c>
      <c r="G127" s="133">
        <v>540</v>
      </c>
    </row>
    <row r="128" spans="1:7" ht="12.75">
      <c r="A128" s="79" t="s">
        <v>355</v>
      </c>
      <c r="B128" s="80">
        <v>1.8</v>
      </c>
      <c r="C128" s="82">
        <v>0.0014</v>
      </c>
      <c r="D128" s="82">
        <v>0.038599999999999995</v>
      </c>
      <c r="E128" s="82" t="s">
        <v>437</v>
      </c>
      <c r="F128" s="80">
        <v>288</v>
      </c>
      <c r="G128" s="80">
        <v>540</v>
      </c>
    </row>
    <row r="129" spans="1:7" ht="12.75">
      <c r="A129" s="69" t="s">
        <v>377</v>
      </c>
      <c r="B129" s="133">
        <v>1.6800000000000002</v>
      </c>
      <c r="C129" s="134">
        <v>0.0002</v>
      </c>
      <c r="D129" s="134">
        <v>0.0742</v>
      </c>
      <c r="E129" s="133" t="s">
        <v>436</v>
      </c>
      <c r="F129" s="133">
        <v>290</v>
      </c>
      <c r="G129" s="133">
        <v>540</v>
      </c>
    </row>
    <row r="130" spans="1:7" ht="12.75">
      <c r="A130" s="79" t="s">
        <v>377</v>
      </c>
      <c r="B130" s="80">
        <v>1.72</v>
      </c>
      <c r="C130" s="82">
        <v>0.0015</v>
      </c>
      <c r="D130" s="82">
        <v>0.053899999999999997</v>
      </c>
      <c r="E130" s="82" t="s">
        <v>437</v>
      </c>
      <c r="F130" s="80">
        <v>290</v>
      </c>
      <c r="G130" s="80">
        <v>540</v>
      </c>
    </row>
    <row r="131" spans="1:7" ht="12.75">
      <c r="A131" s="90" t="s">
        <v>377</v>
      </c>
      <c r="B131" s="91">
        <v>1.85</v>
      </c>
      <c r="C131" s="93">
        <v>0.0023</v>
      </c>
      <c r="D131" s="93">
        <v>0.04650000000000001</v>
      </c>
      <c r="E131" s="91" t="s">
        <v>438</v>
      </c>
      <c r="F131" s="91">
        <v>290</v>
      </c>
      <c r="G131" s="91">
        <v>540</v>
      </c>
    </row>
    <row r="132" spans="1:7" ht="12.75">
      <c r="A132" s="79" t="s">
        <v>389</v>
      </c>
      <c r="B132" s="80">
        <v>1.79</v>
      </c>
      <c r="C132" s="82">
        <v>0.0006000000000000001</v>
      </c>
      <c r="D132" s="82">
        <v>0.0397</v>
      </c>
      <c r="E132" s="82" t="s">
        <v>437</v>
      </c>
      <c r="F132" s="80">
        <v>398</v>
      </c>
      <c r="G132" s="80">
        <v>540</v>
      </c>
    </row>
    <row r="133" spans="1:7" ht="12.75">
      <c r="A133" s="90" t="s">
        <v>389</v>
      </c>
      <c r="B133" s="91">
        <v>1.78</v>
      </c>
      <c r="C133" s="93">
        <v>0.0014</v>
      </c>
      <c r="D133" s="93">
        <v>0.0669</v>
      </c>
      <c r="E133" s="91" t="s">
        <v>438</v>
      </c>
      <c r="F133" s="91">
        <v>398</v>
      </c>
      <c r="G133" s="91">
        <v>540</v>
      </c>
    </row>
    <row r="134" spans="1:7" ht="12.75">
      <c r="A134" s="79" t="s">
        <v>384</v>
      </c>
      <c r="B134" s="80">
        <v>1.73</v>
      </c>
      <c r="C134" s="82">
        <v>0.0006000000000000001</v>
      </c>
      <c r="D134" s="82">
        <v>0.051</v>
      </c>
      <c r="E134" s="82" t="s">
        <v>437</v>
      </c>
      <c r="F134" s="80">
        <v>353</v>
      </c>
      <c r="G134" s="80">
        <v>520</v>
      </c>
    </row>
    <row r="135" spans="1:7" ht="12.75">
      <c r="A135" s="79" t="s">
        <v>392</v>
      </c>
      <c r="B135" s="80">
        <v>1.66</v>
      </c>
      <c r="C135" s="82">
        <v>0</v>
      </c>
      <c r="D135" s="82">
        <v>0.064</v>
      </c>
      <c r="E135" s="82" t="s">
        <v>437</v>
      </c>
      <c r="F135" s="80">
        <v>400</v>
      </c>
      <c r="G135" s="80">
        <v>450</v>
      </c>
    </row>
    <row r="136" spans="1:7" ht="12.75">
      <c r="A136" s="90" t="s">
        <v>392</v>
      </c>
      <c r="B136" s="91">
        <v>1.74</v>
      </c>
      <c r="C136" s="93">
        <v>0.0012000000000000001</v>
      </c>
      <c r="D136" s="93">
        <v>0.0789</v>
      </c>
      <c r="E136" s="91" t="s">
        <v>438</v>
      </c>
      <c r="F136" s="91">
        <v>400</v>
      </c>
      <c r="G136" s="91">
        <v>450</v>
      </c>
    </row>
    <row r="137" spans="1:7" ht="12.75">
      <c r="A137" s="79" t="s">
        <v>387</v>
      </c>
      <c r="B137" s="80">
        <v>1.66</v>
      </c>
      <c r="C137" s="82">
        <v>0.0017000000000000001</v>
      </c>
      <c r="D137" s="82">
        <v>0.0658</v>
      </c>
      <c r="E137" s="82" t="s">
        <v>437</v>
      </c>
      <c r="F137" s="80">
        <v>353</v>
      </c>
      <c r="G137" s="80">
        <v>440</v>
      </c>
    </row>
    <row r="138" spans="1:7" ht="12.75">
      <c r="A138" s="88" t="s">
        <v>387</v>
      </c>
      <c r="B138" s="89">
        <v>1.81</v>
      </c>
      <c r="C138" s="103">
        <v>0.0012000000000000001</v>
      </c>
      <c r="D138" s="103">
        <v>0.030899999999999997</v>
      </c>
      <c r="E138" s="89" t="s">
        <v>439</v>
      </c>
      <c r="F138" s="89">
        <v>353</v>
      </c>
      <c r="G138" s="2">
        <v>440</v>
      </c>
    </row>
    <row r="139" spans="1:7" ht="12.75">
      <c r="A139" s="69" t="s">
        <v>338</v>
      </c>
      <c r="B139" s="133">
        <v>1.49</v>
      </c>
      <c r="C139" s="134">
        <v>0.00030000000000000003</v>
      </c>
      <c r="D139" s="134">
        <v>0.1208</v>
      </c>
      <c r="E139" s="133" t="s">
        <v>436</v>
      </c>
      <c r="F139" s="133">
        <v>253</v>
      </c>
      <c r="G139" s="133">
        <v>430</v>
      </c>
    </row>
    <row r="140" spans="1:7" ht="12.75">
      <c r="A140" s="79" t="s">
        <v>338</v>
      </c>
      <c r="B140" s="80">
        <v>1.54</v>
      </c>
      <c r="C140" s="82">
        <v>0</v>
      </c>
      <c r="D140" s="82">
        <v>0.0875</v>
      </c>
      <c r="E140" s="80" t="s">
        <v>437</v>
      </c>
      <c r="F140" s="80">
        <v>253</v>
      </c>
      <c r="G140" s="80">
        <v>430</v>
      </c>
    </row>
    <row r="141" spans="1:7" ht="12.75">
      <c r="A141" s="90" t="s">
        <v>338</v>
      </c>
      <c r="B141" s="91">
        <v>1.65</v>
      </c>
      <c r="C141" s="93">
        <v>0.00030000000000000003</v>
      </c>
      <c r="D141" s="93">
        <v>0.1063</v>
      </c>
      <c r="E141" s="91" t="s">
        <v>438</v>
      </c>
      <c r="F141" s="91">
        <v>253</v>
      </c>
      <c r="G141" s="91">
        <v>430</v>
      </c>
    </row>
    <row r="142" spans="1:7" ht="12.75">
      <c r="A142" s="69" t="s">
        <v>381</v>
      </c>
      <c r="B142" s="133">
        <v>1.65</v>
      </c>
      <c r="C142" s="134">
        <v>0.0014</v>
      </c>
      <c r="D142" s="134">
        <v>0.0828</v>
      </c>
      <c r="E142" s="133" t="s">
        <v>436</v>
      </c>
      <c r="F142" s="133">
        <v>290</v>
      </c>
      <c r="G142" s="133">
        <v>430</v>
      </c>
    </row>
    <row r="143" spans="1:7" ht="12.75">
      <c r="A143" s="79" t="s">
        <v>381</v>
      </c>
      <c r="B143" s="80">
        <v>1.67</v>
      </c>
      <c r="C143" s="82">
        <v>0.0012000000000000001</v>
      </c>
      <c r="D143" s="82">
        <v>0.0633</v>
      </c>
      <c r="E143" s="82" t="s">
        <v>437</v>
      </c>
      <c r="F143" s="80">
        <v>290</v>
      </c>
      <c r="G143" s="80">
        <v>430</v>
      </c>
    </row>
    <row r="144" spans="1:7" ht="12.75">
      <c r="A144" s="90" t="s">
        <v>381</v>
      </c>
      <c r="B144" s="91">
        <v>1.82</v>
      </c>
      <c r="C144" s="93">
        <v>0.0002</v>
      </c>
      <c r="D144" s="93">
        <v>0.053399999999999996</v>
      </c>
      <c r="E144" s="91" t="s">
        <v>438</v>
      </c>
      <c r="F144" s="91">
        <v>290</v>
      </c>
      <c r="G144" s="91">
        <v>430</v>
      </c>
    </row>
    <row r="145" spans="1:7" ht="12.75">
      <c r="A145" s="69" t="s">
        <v>358</v>
      </c>
      <c r="B145" s="133">
        <v>1.61</v>
      </c>
      <c r="C145" s="134">
        <v>0.0001</v>
      </c>
      <c r="D145" s="134">
        <v>0.091</v>
      </c>
      <c r="E145" s="133" t="s">
        <v>436</v>
      </c>
      <c r="F145" s="133">
        <v>288</v>
      </c>
      <c r="G145" s="133">
        <v>420</v>
      </c>
    </row>
    <row r="146" spans="1:7" ht="12.75">
      <c r="A146" s="79" t="s">
        <v>358</v>
      </c>
      <c r="B146" s="80">
        <v>1.69</v>
      </c>
      <c r="C146" s="82">
        <v>0.0007</v>
      </c>
      <c r="D146" s="82">
        <v>0.058899999999999994</v>
      </c>
      <c r="E146" s="82" t="s">
        <v>437</v>
      </c>
      <c r="F146" s="80">
        <v>288</v>
      </c>
      <c r="G146" s="80">
        <v>420</v>
      </c>
    </row>
    <row r="147" spans="1:7" ht="12.75">
      <c r="A147" s="79" t="s">
        <v>396</v>
      </c>
      <c r="B147" s="80">
        <v>1.59</v>
      </c>
      <c r="C147" s="82">
        <v>0.0007</v>
      </c>
      <c r="D147" s="82">
        <v>0.0784</v>
      </c>
      <c r="E147" s="82" t="s">
        <v>437</v>
      </c>
      <c r="F147" s="80">
        <v>396</v>
      </c>
      <c r="G147" s="80">
        <v>390</v>
      </c>
    </row>
    <row r="148" spans="1:7" ht="12.75">
      <c r="A148" s="90" t="s">
        <v>396</v>
      </c>
      <c r="B148" s="91">
        <v>1.71</v>
      </c>
      <c r="C148" s="93">
        <v>0.0025</v>
      </c>
      <c r="D148" s="93">
        <v>0.0897</v>
      </c>
      <c r="E148" s="91" t="s">
        <v>438</v>
      </c>
      <c r="F148" s="91">
        <v>396</v>
      </c>
      <c r="G148" s="91">
        <v>390</v>
      </c>
    </row>
    <row r="149" spans="1:7" ht="12.75">
      <c r="A149" s="112" t="s">
        <v>406</v>
      </c>
      <c r="B149" s="113">
        <v>1.77</v>
      </c>
      <c r="C149" s="115">
        <v>0.0008</v>
      </c>
      <c r="D149" s="115">
        <v>0.024399999999999998</v>
      </c>
      <c r="E149" s="113" t="s">
        <v>441</v>
      </c>
      <c r="F149" s="113">
        <v>409</v>
      </c>
      <c r="G149" s="113">
        <v>385</v>
      </c>
    </row>
    <row r="150" spans="1:7" ht="12.75">
      <c r="A150" s="112" t="s">
        <v>417</v>
      </c>
      <c r="B150" s="113">
        <v>1.74</v>
      </c>
      <c r="C150" s="115">
        <v>0.0011</v>
      </c>
      <c r="D150" s="115">
        <v>0.0346</v>
      </c>
      <c r="E150" s="113" t="s">
        <v>441</v>
      </c>
      <c r="F150" s="113">
        <v>409</v>
      </c>
      <c r="G150" s="113">
        <v>305</v>
      </c>
    </row>
    <row r="151" spans="1:7" ht="12.75">
      <c r="A151" s="120" t="s">
        <v>417</v>
      </c>
      <c r="B151" s="121">
        <v>1.65</v>
      </c>
      <c r="C151" s="123">
        <v>0.0004</v>
      </c>
      <c r="D151" s="123">
        <v>0.0516</v>
      </c>
      <c r="E151" s="121" t="s">
        <v>442</v>
      </c>
      <c r="F151" s="121">
        <v>409</v>
      </c>
      <c r="G151" s="121">
        <v>305</v>
      </c>
    </row>
    <row r="152" spans="1:7" ht="12.75">
      <c r="A152" s="90" t="s">
        <v>400</v>
      </c>
      <c r="B152" s="91">
        <v>1.61</v>
      </c>
      <c r="C152" s="93">
        <v>0.0002</v>
      </c>
      <c r="D152" s="93">
        <v>0.1189</v>
      </c>
      <c r="E152" s="91" t="s">
        <v>438</v>
      </c>
      <c r="F152" s="91">
        <v>396</v>
      </c>
      <c r="G152" s="91">
        <v>300</v>
      </c>
    </row>
    <row r="153" spans="1:7" ht="12.75">
      <c r="A153" s="104" t="s">
        <v>400</v>
      </c>
      <c r="B153" s="105">
        <v>1.75</v>
      </c>
      <c r="C153" s="107">
        <v>0.0001</v>
      </c>
      <c r="D153" s="107">
        <v>0.0575</v>
      </c>
      <c r="E153" s="105" t="s">
        <v>440</v>
      </c>
      <c r="F153" s="105">
        <v>396</v>
      </c>
      <c r="G153" s="105">
        <v>300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zoomScale="110" zoomScaleNormal="110" workbookViewId="0" topLeftCell="A119">
      <selection activeCell="H2" sqref="H2"/>
    </sheetView>
  </sheetViews>
  <sheetFormatPr defaultColWidth="12.57421875" defaultRowHeight="12.75"/>
  <cols>
    <col min="1" max="1" width="21.421875" style="0" customWidth="1"/>
    <col min="2" max="2" width="11.57421875" style="0" customWidth="1"/>
    <col min="3" max="3" width="11.421875" style="0" customWidth="1"/>
    <col min="4" max="4" width="9.8515625" style="0" customWidth="1"/>
    <col min="5" max="5" width="13.421875" style="0" customWidth="1"/>
    <col min="6" max="6" width="4.8515625" style="0" customWidth="1"/>
    <col min="7" max="7" width="5.28125" style="0" customWidth="1"/>
    <col min="8" max="16384" width="11.57421875" style="0" customWidth="1"/>
  </cols>
  <sheetData>
    <row r="1" spans="1:7" ht="12.75">
      <c r="A1" s="1" t="s">
        <v>0</v>
      </c>
      <c r="B1" s="2" t="s">
        <v>427</v>
      </c>
      <c r="C1" s="2" t="s">
        <v>428</v>
      </c>
      <c r="D1" s="2" t="s">
        <v>429</v>
      </c>
      <c r="E1" s="2" t="s">
        <v>430</v>
      </c>
      <c r="F1" s="2" t="s">
        <v>8</v>
      </c>
      <c r="G1" s="2" t="s">
        <v>7</v>
      </c>
    </row>
    <row r="2" spans="1:8" ht="12.75">
      <c r="A2" s="59" t="s">
        <v>195</v>
      </c>
      <c r="B2" s="60">
        <v>1.2</v>
      </c>
      <c r="C2" s="63">
        <v>0.0079</v>
      </c>
      <c r="D2" s="63">
        <v>0.11</v>
      </c>
      <c r="E2" s="60" t="s">
        <v>433</v>
      </c>
      <c r="F2" s="60">
        <v>106</v>
      </c>
      <c r="G2" s="60">
        <v>1640</v>
      </c>
      <c r="H2" t="s">
        <v>569</v>
      </c>
    </row>
    <row r="3" spans="1:7" ht="12.75">
      <c r="A3" s="41" t="s">
        <v>260</v>
      </c>
      <c r="B3" s="42">
        <v>1.2</v>
      </c>
      <c r="C3" s="44">
        <v>0.0005</v>
      </c>
      <c r="D3" s="44">
        <v>0.1961</v>
      </c>
      <c r="E3" s="128" t="s">
        <v>434</v>
      </c>
      <c r="F3" s="42">
        <v>151</v>
      </c>
      <c r="G3" s="42">
        <v>1200</v>
      </c>
    </row>
    <row r="4" spans="1:7" ht="12.75">
      <c r="A4" s="1" t="s">
        <v>34</v>
      </c>
      <c r="B4" s="2">
        <v>1.24</v>
      </c>
      <c r="C4" s="4">
        <v>0.0027</v>
      </c>
      <c r="D4" s="4">
        <v>0.36460000000000004</v>
      </c>
      <c r="E4" s="2" t="s">
        <v>431</v>
      </c>
      <c r="F4" s="2">
        <v>35.4</v>
      </c>
      <c r="G4" s="2">
        <v>1585</v>
      </c>
    </row>
    <row r="5" spans="1:7" ht="12.75">
      <c r="A5" s="1" t="s">
        <v>30</v>
      </c>
      <c r="B5" s="2">
        <v>1.27</v>
      </c>
      <c r="C5" s="4">
        <v>0.001</v>
      </c>
      <c r="D5" s="4">
        <v>0.33590000000000003</v>
      </c>
      <c r="E5" s="2" t="s">
        <v>431</v>
      </c>
      <c r="F5" s="2">
        <v>35.4</v>
      </c>
      <c r="G5" s="2">
        <v>1900</v>
      </c>
    </row>
    <row r="6" spans="1:7" ht="12.75">
      <c r="A6" s="1" t="s">
        <v>54</v>
      </c>
      <c r="B6" s="2">
        <v>1.27</v>
      </c>
      <c r="C6" s="4">
        <v>0.0012000000000000001</v>
      </c>
      <c r="D6" s="4">
        <v>0.34600000000000003</v>
      </c>
      <c r="E6" s="2" t="s">
        <v>431</v>
      </c>
      <c r="F6" s="2">
        <v>45</v>
      </c>
      <c r="G6" s="2">
        <v>1100</v>
      </c>
    </row>
    <row r="7" spans="1:7" ht="12.75">
      <c r="A7" s="1" t="s">
        <v>116</v>
      </c>
      <c r="B7" s="2">
        <v>1.27</v>
      </c>
      <c r="C7" s="4">
        <v>0.0028</v>
      </c>
      <c r="D7" s="4">
        <v>0.3483</v>
      </c>
      <c r="E7" s="2" t="s">
        <v>431</v>
      </c>
      <c r="F7" s="2">
        <v>61</v>
      </c>
      <c r="G7" s="2">
        <v>1350</v>
      </c>
    </row>
    <row r="8" spans="1:7" ht="12.75">
      <c r="A8" s="1" t="s">
        <v>38</v>
      </c>
      <c r="B8" s="2">
        <v>1.29</v>
      </c>
      <c r="C8" s="4">
        <v>0.0031000000000000003</v>
      </c>
      <c r="D8" s="4">
        <v>0.33770000000000006</v>
      </c>
      <c r="E8" s="2" t="s">
        <v>431</v>
      </c>
      <c r="F8" s="2">
        <v>35.4</v>
      </c>
      <c r="G8" s="2">
        <v>1490</v>
      </c>
    </row>
    <row r="9" spans="1:7" ht="12.75">
      <c r="A9" s="49" t="s">
        <v>195</v>
      </c>
      <c r="B9" s="50">
        <v>1.3</v>
      </c>
      <c r="C9" s="53">
        <v>0.0023</v>
      </c>
      <c r="D9" s="53">
        <v>0.1048</v>
      </c>
      <c r="E9" s="50" t="s">
        <v>435</v>
      </c>
      <c r="F9" s="50">
        <v>106</v>
      </c>
      <c r="G9" s="50">
        <v>1640</v>
      </c>
    </row>
    <row r="10" spans="1:7" ht="12.75">
      <c r="A10" s="1" t="s">
        <v>90</v>
      </c>
      <c r="B10" s="2">
        <v>1.32</v>
      </c>
      <c r="C10" s="4">
        <v>0.0023</v>
      </c>
      <c r="D10" s="4">
        <v>0.32049999999999995</v>
      </c>
      <c r="E10" s="2" t="s">
        <v>431</v>
      </c>
      <c r="F10" s="2">
        <v>58</v>
      </c>
      <c r="G10" s="2">
        <v>885</v>
      </c>
    </row>
    <row r="11" spans="1:7" ht="12.75">
      <c r="A11" s="20" t="s">
        <v>185</v>
      </c>
      <c r="B11" s="16">
        <v>1.33</v>
      </c>
      <c r="C11" s="22">
        <v>0.0025</v>
      </c>
      <c r="D11" s="22">
        <v>0.21559999999999999</v>
      </c>
      <c r="E11" s="16" t="s">
        <v>432</v>
      </c>
      <c r="F11" s="16">
        <v>88</v>
      </c>
      <c r="G11" s="16">
        <v>1250</v>
      </c>
    </row>
    <row r="12" spans="1:7" ht="12.75">
      <c r="A12" s="1" t="s">
        <v>24</v>
      </c>
      <c r="B12" s="2">
        <v>1.34</v>
      </c>
      <c r="C12" s="4">
        <v>0.0006000000000000001</v>
      </c>
      <c r="D12" s="4">
        <v>0.30760000000000004</v>
      </c>
      <c r="E12" s="2" t="s">
        <v>431</v>
      </c>
      <c r="F12" s="2">
        <v>22.5</v>
      </c>
      <c r="G12" s="2">
        <v>1080</v>
      </c>
    </row>
    <row r="13" spans="1:7" ht="12.75">
      <c r="A13" s="1" t="s">
        <v>43</v>
      </c>
      <c r="B13" s="2">
        <v>1.34</v>
      </c>
      <c r="C13" s="4">
        <v>0.0025</v>
      </c>
      <c r="D13" s="4">
        <v>0.3102</v>
      </c>
      <c r="E13" s="2" t="s">
        <v>431</v>
      </c>
      <c r="F13" s="2">
        <v>45</v>
      </c>
      <c r="G13" s="2">
        <v>1280</v>
      </c>
    </row>
    <row r="14" spans="1:7" ht="12.75">
      <c r="A14" s="1" t="s">
        <v>69</v>
      </c>
      <c r="B14" s="2">
        <v>1.35</v>
      </c>
      <c r="C14" s="4">
        <v>0.0018000000000000002</v>
      </c>
      <c r="D14" s="4">
        <v>0.3038</v>
      </c>
      <c r="E14" s="2" t="s">
        <v>431</v>
      </c>
      <c r="F14" s="2">
        <v>47</v>
      </c>
      <c r="G14" s="2">
        <v>1180</v>
      </c>
    </row>
    <row r="15" spans="1:7" ht="12.75">
      <c r="A15" s="1" t="s">
        <v>126</v>
      </c>
      <c r="B15" s="2">
        <v>1.35</v>
      </c>
      <c r="C15" s="4">
        <v>0.0013000000000000002</v>
      </c>
      <c r="D15" s="4">
        <v>0.3032</v>
      </c>
      <c r="E15" s="2" t="s">
        <v>431</v>
      </c>
      <c r="F15" s="2">
        <v>68.8</v>
      </c>
      <c r="G15" s="2">
        <v>1127</v>
      </c>
    </row>
    <row r="16" spans="1:7" ht="12.75">
      <c r="A16" s="1" t="s">
        <v>121</v>
      </c>
      <c r="B16" s="2">
        <v>1.36</v>
      </c>
      <c r="C16" s="4">
        <v>0.0032</v>
      </c>
      <c r="D16" s="4">
        <v>0.3004</v>
      </c>
      <c r="E16" s="2" t="s">
        <v>431</v>
      </c>
      <c r="F16" s="2">
        <v>61</v>
      </c>
      <c r="G16" s="2">
        <v>950</v>
      </c>
    </row>
    <row r="17" spans="1:7" ht="12.75">
      <c r="A17" s="20" t="s">
        <v>90</v>
      </c>
      <c r="B17" s="16">
        <v>1.37</v>
      </c>
      <c r="C17" s="22">
        <v>0.0015</v>
      </c>
      <c r="D17" s="22">
        <v>0.2005</v>
      </c>
      <c r="E17" s="16" t="s">
        <v>432</v>
      </c>
      <c r="F17" s="16">
        <v>58</v>
      </c>
      <c r="G17" s="16">
        <v>885</v>
      </c>
    </row>
    <row r="18" spans="1:7" ht="12.75">
      <c r="A18" s="1" t="s">
        <v>76</v>
      </c>
      <c r="B18" s="2">
        <v>1.38</v>
      </c>
      <c r="C18" s="4">
        <v>0.0015</v>
      </c>
      <c r="D18" s="4">
        <v>0.2878</v>
      </c>
      <c r="E18" s="2" t="s">
        <v>431</v>
      </c>
      <c r="F18" s="2">
        <v>58</v>
      </c>
      <c r="G18" s="2">
        <v>1850</v>
      </c>
    </row>
    <row r="19" spans="1:7" ht="12.75">
      <c r="A19" s="1" t="s">
        <v>119</v>
      </c>
      <c r="B19" s="2">
        <v>1.38</v>
      </c>
      <c r="C19" s="4">
        <v>0.0023</v>
      </c>
      <c r="D19" s="4">
        <v>0.2887</v>
      </c>
      <c r="E19" s="2" t="s">
        <v>431</v>
      </c>
      <c r="F19" s="2">
        <v>60</v>
      </c>
      <c r="G19" s="2">
        <v>1100</v>
      </c>
    </row>
    <row r="20" spans="1:7" ht="12.75">
      <c r="A20" s="1" t="s">
        <v>143</v>
      </c>
      <c r="B20" s="2">
        <v>1.41</v>
      </c>
      <c r="C20" s="4">
        <v>0.0029000000000000002</v>
      </c>
      <c r="D20" s="4">
        <v>0.27399999999999997</v>
      </c>
      <c r="E20" s="2" t="s">
        <v>431</v>
      </c>
      <c r="F20" s="2">
        <v>73</v>
      </c>
      <c r="G20" s="2">
        <v>1180</v>
      </c>
    </row>
    <row r="21" spans="1:7" ht="12.75">
      <c r="A21" s="1" t="s">
        <v>79</v>
      </c>
      <c r="B21" s="2">
        <v>1.42</v>
      </c>
      <c r="C21" s="4">
        <v>0.0014</v>
      </c>
      <c r="D21" s="4">
        <v>0.2669</v>
      </c>
      <c r="E21" s="2" t="s">
        <v>431</v>
      </c>
      <c r="F21" s="2">
        <v>58</v>
      </c>
      <c r="G21" s="2">
        <v>1170</v>
      </c>
    </row>
    <row r="22" spans="1:7" ht="12.75">
      <c r="A22" s="20" t="s">
        <v>69</v>
      </c>
      <c r="B22" s="16">
        <v>1.43</v>
      </c>
      <c r="C22" s="22">
        <v>0.0005</v>
      </c>
      <c r="D22" s="22">
        <v>0.1788</v>
      </c>
      <c r="E22" s="16" t="s">
        <v>432</v>
      </c>
      <c r="F22" s="16">
        <v>47</v>
      </c>
      <c r="G22" s="16">
        <v>1180</v>
      </c>
    </row>
    <row r="23" spans="1:7" ht="12.75">
      <c r="A23" s="1" t="s">
        <v>129</v>
      </c>
      <c r="B23" s="2">
        <v>1.43</v>
      </c>
      <c r="C23" s="4">
        <v>1E-05</v>
      </c>
      <c r="D23" s="4">
        <v>0.2613</v>
      </c>
      <c r="E23" s="2" t="s">
        <v>431</v>
      </c>
      <c r="F23" s="2">
        <v>68.8</v>
      </c>
      <c r="G23" s="2">
        <v>900</v>
      </c>
    </row>
    <row r="24" spans="1:7" ht="12.75">
      <c r="A24" s="20" t="s">
        <v>121</v>
      </c>
      <c r="B24" s="16">
        <v>1.44</v>
      </c>
      <c r="C24" s="22">
        <v>0.0006000000000000001</v>
      </c>
      <c r="D24" s="22">
        <v>0.17550000000000002</v>
      </c>
      <c r="E24" s="16" t="s">
        <v>432</v>
      </c>
      <c r="F24" s="16">
        <v>61</v>
      </c>
      <c r="G24" s="16">
        <v>950</v>
      </c>
    </row>
    <row r="25" spans="1:7" ht="12.75">
      <c r="A25" s="20" t="s">
        <v>129</v>
      </c>
      <c r="B25" s="16">
        <v>1.45</v>
      </c>
      <c r="C25" s="22">
        <v>0.0007</v>
      </c>
      <c r="D25" s="22">
        <v>0.0682</v>
      </c>
      <c r="E25" s="16" t="s">
        <v>432</v>
      </c>
      <c r="F25" s="16">
        <v>68.8</v>
      </c>
      <c r="G25" s="16">
        <v>900</v>
      </c>
    </row>
    <row r="26" spans="1:7" ht="12.75">
      <c r="A26" s="1" t="s">
        <v>147</v>
      </c>
      <c r="B26" s="2">
        <v>1.45</v>
      </c>
      <c r="C26" s="4">
        <v>0.0012000000000000001</v>
      </c>
      <c r="D26" s="4">
        <v>0.25129999999999997</v>
      </c>
      <c r="E26" s="2" t="s">
        <v>431</v>
      </c>
      <c r="F26" s="2">
        <v>72</v>
      </c>
      <c r="G26" s="2">
        <v>960</v>
      </c>
    </row>
    <row r="27" spans="1:7" ht="12.75">
      <c r="A27" s="1" t="s">
        <v>65</v>
      </c>
      <c r="B27" s="2">
        <v>1.46</v>
      </c>
      <c r="C27" s="4">
        <v>0.0031000000000000003</v>
      </c>
      <c r="D27" s="4">
        <v>0.2486</v>
      </c>
      <c r="E27" s="2" t="s">
        <v>431</v>
      </c>
      <c r="F27" s="2">
        <v>46.5</v>
      </c>
      <c r="G27" s="2">
        <v>1550</v>
      </c>
    </row>
    <row r="28" spans="1:7" ht="12.75">
      <c r="A28" s="20" t="s">
        <v>85</v>
      </c>
      <c r="B28" s="16">
        <v>1.46</v>
      </c>
      <c r="C28" s="22">
        <v>0.0006000000000000001</v>
      </c>
      <c r="D28" s="22">
        <v>0.16879999999999998</v>
      </c>
      <c r="E28" s="16" t="s">
        <v>432</v>
      </c>
      <c r="F28" s="16">
        <v>58</v>
      </c>
      <c r="G28" s="16">
        <v>960</v>
      </c>
    </row>
    <row r="29" spans="1:7" ht="12.75">
      <c r="A29" s="1" t="s">
        <v>17</v>
      </c>
      <c r="B29" s="2">
        <v>1.47</v>
      </c>
      <c r="C29" s="4">
        <v>0.00030000000000000003</v>
      </c>
      <c r="D29" s="4">
        <v>0.2401</v>
      </c>
      <c r="E29" s="2" t="s">
        <v>431</v>
      </c>
      <c r="F29" s="2">
        <v>22.5</v>
      </c>
      <c r="G29" s="2">
        <v>1750</v>
      </c>
    </row>
    <row r="30" spans="1:7" ht="12.75">
      <c r="A30" s="1" t="s">
        <v>85</v>
      </c>
      <c r="B30" s="2">
        <v>1.47</v>
      </c>
      <c r="C30" s="4">
        <v>0.0014</v>
      </c>
      <c r="D30" s="4">
        <v>0.2414</v>
      </c>
      <c r="E30" s="2" t="s">
        <v>431</v>
      </c>
      <c r="F30" s="2">
        <v>58</v>
      </c>
      <c r="G30" s="2">
        <v>960</v>
      </c>
    </row>
    <row r="31" spans="1:7" ht="12.75">
      <c r="A31" s="20" t="s">
        <v>187</v>
      </c>
      <c r="B31" s="16">
        <v>1.47</v>
      </c>
      <c r="C31" s="22">
        <v>0.0005</v>
      </c>
      <c r="D31" s="22">
        <v>0.16519999999999999</v>
      </c>
      <c r="E31" s="16" t="s">
        <v>432</v>
      </c>
      <c r="F31" s="16">
        <v>88</v>
      </c>
      <c r="G31" s="16">
        <v>940</v>
      </c>
    </row>
    <row r="32" spans="1:7" ht="12.75">
      <c r="A32" s="1" t="s">
        <v>62</v>
      </c>
      <c r="B32" s="2">
        <v>1.49</v>
      </c>
      <c r="C32" s="4">
        <v>0.0025</v>
      </c>
      <c r="D32" s="4">
        <v>0.2328</v>
      </c>
      <c r="E32" s="2" t="s">
        <v>431</v>
      </c>
      <c r="F32" s="2">
        <v>46.5</v>
      </c>
      <c r="G32" s="2">
        <v>2000</v>
      </c>
    </row>
    <row r="33" spans="1:7" ht="12.75">
      <c r="A33" s="1" t="s">
        <v>124</v>
      </c>
      <c r="B33" s="2">
        <v>1.49</v>
      </c>
      <c r="C33" s="4">
        <v>0.0028</v>
      </c>
      <c r="D33" s="4">
        <v>0.2332</v>
      </c>
      <c r="E33" s="2" t="s">
        <v>431</v>
      </c>
      <c r="F33" s="2">
        <v>68.8</v>
      </c>
      <c r="G33" s="2">
        <v>1810</v>
      </c>
    </row>
    <row r="34" spans="1:7" ht="12.75">
      <c r="A34" s="69" t="s">
        <v>338</v>
      </c>
      <c r="B34" s="133">
        <v>1.49</v>
      </c>
      <c r="C34" s="134">
        <v>0.00030000000000000003</v>
      </c>
      <c r="D34" s="134">
        <v>0.1208</v>
      </c>
      <c r="E34" s="133" t="s">
        <v>436</v>
      </c>
      <c r="F34" s="133">
        <v>253</v>
      </c>
      <c r="G34" s="133">
        <v>430</v>
      </c>
    </row>
    <row r="35" spans="1:7" ht="12.75">
      <c r="A35" s="1" t="s">
        <v>9</v>
      </c>
      <c r="B35" s="2">
        <v>1.5</v>
      </c>
      <c r="C35" s="4">
        <v>0</v>
      </c>
      <c r="D35" s="4">
        <v>0.2257</v>
      </c>
      <c r="E35" s="2" t="s">
        <v>431</v>
      </c>
      <c r="F35" s="2">
        <v>22.4</v>
      </c>
      <c r="G35" s="2">
        <v>1960</v>
      </c>
    </row>
    <row r="36" spans="1:7" ht="12.75">
      <c r="A36" s="20" t="s">
        <v>143</v>
      </c>
      <c r="B36" s="16">
        <v>1.5</v>
      </c>
      <c r="C36" s="22">
        <v>0.0008</v>
      </c>
      <c r="D36" s="22">
        <v>0.15560000000000002</v>
      </c>
      <c r="E36" s="16" t="s">
        <v>432</v>
      </c>
      <c r="F36" s="16">
        <v>73</v>
      </c>
      <c r="G36" s="16">
        <v>1180</v>
      </c>
    </row>
    <row r="37" spans="1:7" ht="12.75">
      <c r="A37" s="59" t="s">
        <v>154</v>
      </c>
      <c r="B37" s="60">
        <v>1.5</v>
      </c>
      <c r="C37" s="63">
        <v>0</v>
      </c>
      <c r="D37" s="63">
        <v>0.0616</v>
      </c>
      <c r="E37" s="60" t="s">
        <v>433</v>
      </c>
      <c r="F37" s="60">
        <v>76</v>
      </c>
      <c r="G37" s="60">
        <v>1490</v>
      </c>
    </row>
    <row r="38" spans="1:7" ht="12.75">
      <c r="A38" s="1" t="s">
        <v>140</v>
      </c>
      <c r="B38" s="2">
        <v>1.51</v>
      </c>
      <c r="C38" s="4">
        <v>0.0037</v>
      </c>
      <c r="D38" s="4">
        <v>0.2243</v>
      </c>
      <c r="E38" s="2" t="s">
        <v>431</v>
      </c>
      <c r="F38" s="2">
        <v>74</v>
      </c>
      <c r="G38" s="2">
        <v>1550</v>
      </c>
    </row>
    <row r="39" spans="1:7" ht="12.75">
      <c r="A39" s="41" t="s">
        <v>154</v>
      </c>
      <c r="B39" s="42">
        <v>1.51</v>
      </c>
      <c r="C39" s="44">
        <v>0.0015</v>
      </c>
      <c r="D39" s="44">
        <v>0.099</v>
      </c>
      <c r="E39" s="128" t="s">
        <v>434</v>
      </c>
      <c r="F39" s="42">
        <v>76</v>
      </c>
      <c r="G39" s="42">
        <v>1490</v>
      </c>
    </row>
    <row r="40" spans="1:7" ht="12.75">
      <c r="A40" s="20" t="s">
        <v>255</v>
      </c>
      <c r="B40" s="16">
        <v>1.51</v>
      </c>
      <c r="C40" s="22">
        <v>0.0015</v>
      </c>
      <c r="D40" s="22">
        <v>0.1531</v>
      </c>
      <c r="E40" s="22" t="s">
        <v>432</v>
      </c>
      <c r="F40" s="16">
        <v>141</v>
      </c>
      <c r="G40" s="16">
        <v>820</v>
      </c>
    </row>
    <row r="41" spans="1:7" ht="12.75">
      <c r="A41" s="59" t="s">
        <v>260</v>
      </c>
      <c r="B41" s="60">
        <v>1.51</v>
      </c>
      <c r="C41" s="63">
        <v>0.0008</v>
      </c>
      <c r="D41" s="63">
        <v>0.06849999999999999</v>
      </c>
      <c r="E41" s="60" t="s">
        <v>433</v>
      </c>
      <c r="F41" s="60">
        <v>151</v>
      </c>
      <c r="G41" s="60">
        <v>1200</v>
      </c>
    </row>
    <row r="42" spans="1:7" ht="12.75">
      <c r="A42" s="20" t="s">
        <v>298</v>
      </c>
      <c r="B42" s="16">
        <v>1.51</v>
      </c>
      <c r="C42" s="22">
        <v>0.0007</v>
      </c>
      <c r="D42" s="22">
        <v>0.1522</v>
      </c>
      <c r="E42" s="22" t="s">
        <v>432</v>
      </c>
      <c r="F42" s="16">
        <v>178</v>
      </c>
      <c r="G42" s="16">
        <v>740</v>
      </c>
    </row>
    <row r="43" spans="1:7" ht="12.75">
      <c r="A43" s="1" t="s">
        <v>111</v>
      </c>
      <c r="B43" s="2">
        <v>1.52</v>
      </c>
      <c r="C43" s="4">
        <v>0.0029000000000000002</v>
      </c>
      <c r="D43" s="4">
        <v>0.2184</v>
      </c>
      <c r="E43" s="2" t="s">
        <v>431</v>
      </c>
      <c r="F43" s="2">
        <v>60</v>
      </c>
      <c r="G43" s="2">
        <v>2000</v>
      </c>
    </row>
    <row r="44" spans="1:7" ht="12.75">
      <c r="A44" s="20" t="s">
        <v>176</v>
      </c>
      <c r="B44" s="16">
        <v>1.52</v>
      </c>
      <c r="C44" s="22">
        <v>0.0008</v>
      </c>
      <c r="D44" s="22">
        <v>0.149</v>
      </c>
      <c r="E44" s="16" t="s">
        <v>432</v>
      </c>
      <c r="F44" s="16">
        <v>80.5</v>
      </c>
      <c r="G44" s="16">
        <v>1000</v>
      </c>
    </row>
    <row r="45" spans="1:7" ht="12.75">
      <c r="A45" s="20" t="s">
        <v>252</v>
      </c>
      <c r="B45" s="16">
        <v>1.53</v>
      </c>
      <c r="C45" s="22">
        <v>0.0007</v>
      </c>
      <c r="D45" s="22">
        <v>0.14550000000000002</v>
      </c>
      <c r="E45" s="22" t="s">
        <v>432</v>
      </c>
      <c r="F45" s="16">
        <v>141</v>
      </c>
      <c r="G45" s="16">
        <v>1000</v>
      </c>
    </row>
    <row r="46" spans="1:7" ht="12.75">
      <c r="A46" s="20" t="s">
        <v>296</v>
      </c>
      <c r="B46" s="16">
        <v>1.53</v>
      </c>
      <c r="C46" s="22">
        <v>0.0012000000000000001</v>
      </c>
      <c r="D46" s="22">
        <v>0.1462</v>
      </c>
      <c r="E46" s="22" t="s">
        <v>432</v>
      </c>
      <c r="F46" s="16">
        <v>178</v>
      </c>
      <c r="G46" s="16">
        <v>950</v>
      </c>
    </row>
    <row r="47" spans="1:7" ht="12.75">
      <c r="A47" s="20" t="s">
        <v>315</v>
      </c>
      <c r="B47" s="16">
        <v>1.53</v>
      </c>
      <c r="C47" s="22">
        <v>0.0027</v>
      </c>
      <c r="D47" s="22">
        <v>0.1478</v>
      </c>
      <c r="E47" s="22" t="s">
        <v>432</v>
      </c>
      <c r="F47" s="16">
        <v>216</v>
      </c>
      <c r="G47" s="16">
        <v>700</v>
      </c>
    </row>
    <row r="48" spans="1:7" ht="12.75">
      <c r="A48" s="1" t="s">
        <v>178</v>
      </c>
      <c r="B48" s="2">
        <v>1.54</v>
      </c>
      <c r="C48" s="4">
        <v>0.0021000000000000003</v>
      </c>
      <c r="D48" s="4">
        <v>0.2075</v>
      </c>
      <c r="E48" s="2" t="s">
        <v>431</v>
      </c>
      <c r="F48" s="2">
        <v>88</v>
      </c>
      <c r="G48" s="2">
        <v>1860</v>
      </c>
    </row>
    <row r="49" spans="1:7" ht="12.75">
      <c r="A49" s="79" t="s">
        <v>338</v>
      </c>
      <c r="B49" s="80">
        <v>1.54</v>
      </c>
      <c r="C49" s="82">
        <v>0</v>
      </c>
      <c r="D49" s="82">
        <v>0.0875</v>
      </c>
      <c r="E49" s="80" t="s">
        <v>437</v>
      </c>
      <c r="F49" s="80">
        <v>253</v>
      </c>
      <c r="G49" s="80">
        <v>430</v>
      </c>
    </row>
    <row r="50" spans="1:7" ht="12.75">
      <c r="A50" s="20" t="s">
        <v>136</v>
      </c>
      <c r="B50" s="16">
        <v>1.55</v>
      </c>
      <c r="C50" s="22">
        <v>0.0005</v>
      </c>
      <c r="D50" s="22">
        <v>0.1388</v>
      </c>
      <c r="E50" s="16" t="s">
        <v>432</v>
      </c>
      <c r="F50" s="16">
        <v>74</v>
      </c>
      <c r="G50" s="16">
        <v>2300</v>
      </c>
    </row>
    <row r="51" spans="1:7" ht="12.75">
      <c r="A51" s="69" t="s">
        <v>298</v>
      </c>
      <c r="B51" s="133">
        <v>1.55</v>
      </c>
      <c r="C51" s="134">
        <v>0.002</v>
      </c>
      <c r="D51" s="134">
        <v>0.10779999999999999</v>
      </c>
      <c r="E51" s="133" t="s">
        <v>436</v>
      </c>
      <c r="F51" s="133">
        <v>178</v>
      </c>
      <c r="G51" s="133">
        <v>740</v>
      </c>
    </row>
    <row r="52" spans="1:7" ht="12.75">
      <c r="A52" s="69" t="s">
        <v>323</v>
      </c>
      <c r="B52" s="133">
        <v>1.55</v>
      </c>
      <c r="C52" s="134">
        <v>0.0022</v>
      </c>
      <c r="D52" s="134">
        <v>0.1079</v>
      </c>
      <c r="E52" s="133" t="s">
        <v>436</v>
      </c>
      <c r="F52" s="133">
        <v>216</v>
      </c>
      <c r="G52" s="133">
        <v>550</v>
      </c>
    </row>
    <row r="53" spans="1:7" ht="12.75">
      <c r="A53" s="20" t="s">
        <v>111</v>
      </c>
      <c r="B53" s="16">
        <v>1.56</v>
      </c>
      <c r="C53" s="22">
        <v>-1E-06</v>
      </c>
      <c r="D53" s="22">
        <v>0.1348</v>
      </c>
      <c r="E53" s="16" t="s">
        <v>432</v>
      </c>
      <c r="F53" s="16">
        <v>60</v>
      </c>
      <c r="G53" s="16">
        <v>2000</v>
      </c>
    </row>
    <row r="54" spans="1:7" ht="12.75">
      <c r="A54" s="20" t="s">
        <v>295</v>
      </c>
      <c r="B54" s="16">
        <v>1.56</v>
      </c>
      <c r="C54" s="22">
        <v>0.0016</v>
      </c>
      <c r="D54" s="22">
        <v>0.1367</v>
      </c>
      <c r="E54" s="22" t="s">
        <v>432</v>
      </c>
      <c r="F54" s="16">
        <v>178</v>
      </c>
      <c r="G54" s="16">
        <v>1100</v>
      </c>
    </row>
    <row r="55" spans="1:7" ht="12.75">
      <c r="A55" s="20" t="s">
        <v>309</v>
      </c>
      <c r="B55" s="16">
        <v>1.56</v>
      </c>
      <c r="C55" s="22">
        <v>0.0024000000000000002</v>
      </c>
      <c r="D55" s="22">
        <v>0.1376</v>
      </c>
      <c r="E55" s="22" t="s">
        <v>432</v>
      </c>
      <c r="F55" s="16">
        <v>210</v>
      </c>
      <c r="G55" s="16">
        <v>980</v>
      </c>
    </row>
    <row r="56" spans="1:7" ht="12.75">
      <c r="A56" s="20" t="s">
        <v>311</v>
      </c>
      <c r="B56" s="16">
        <v>1.56</v>
      </c>
      <c r="C56" s="22">
        <v>0.002</v>
      </c>
      <c r="D56" s="22">
        <v>0.13720000000000002</v>
      </c>
      <c r="E56" s="22" t="s">
        <v>432</v>
      </c>
      <c r="F56" s="16">
        <v>216</v>
      </c>
      <c r="G56" s="16">
        <v>820</v>
      </c>
    </row>
    <row r="57" spans="1:7" ht="12.75">
      <c r="A57" s="20" t="s">
        <v>326</v>
      </c>
      <c r="B57" s="16">
        <v>1.57</v>
      </c>
      <c r="C57" s="22">
        <v>0.0012000000000000001</v>
      </c>
      <c r="D57" s="22">
        <v>0.1331</v>
      </c>
      <c r="E57" s="22" t="s">
        <v>432</v>
      </c>
      <c r="F57" s="16">
        <v>253</v>
      </c>
      <c r="G57" s="16">
        <v>780</v>
      </c>
    </row>
    <row r="58" spans="1:7" ht="12.75">
      <c r="A58" s="69" t="s">
        <v>333</v>
      </c>
      <c r="B58" s="133">
        <v>1.57</v>
      </c>
      <c r="C58" s="134">
        <v>0</v>
      </c>
      <c r="D58" s="134">
        <v>0.1007</v>
      </c>
      <c r="E58" s="133">
        <v>10.07</v>
      </c>
      <c r="F58" s="133">
        <v>253</v>
      </c>
      <c r="G58" s="133">
        <v>560</v>
      </c>
    </row>
    <row r="59" spans="1:7" ht="12.75">
      <c r="A59" s="20" t="s">
        <v>178</v>
      </c>
      <c r="B59" s="16">
        <v>1.58</v>
      </c>
      <c r="C59" s="22">
        <v>0.0001</v>
      </c>
      <c r="D59" s="22">
        <v>0.1285</v>
      </c>
      <c r="E59" s="16" t="s">
        <v>432</v>
      </c>
      <c r="F59" s="16">
        <v>88</v>
      </c>
      <c r="G59" s="16">
        <v>1860</v>
      </c>
    </row>
    <row r="60" spans="1:7" ht="12.75">
      <c r="A60" s="20" t="s">
        <v>220</v>
      </c>
      <c r="B60" s="16">
        <v>1.58</v>
      </c>
      <c r="C60" s="22">
        <v>0.0015</v>
      </c>
      <c r="D60" s="22">
        <v>0.1301</v>
      </c>
      <c r="E60" s="22" t="s">
        <v>432</v>
      </c>
      <c r="F60" s="16">
        <v>109</v>
      </c>
      <c r="G60" s="16">
        <v>850</v>
      </c>
    </row>
    <row r="61" spans="1:7" ht="12.75">
      <c r="A61" s="69" t="s">
        <v>255</v>
      </c>
      <c r="B61" s="133">
        <v>1.58</v>
      </c>
      <c r="C61" s="134">
        <v>0.0001</v>
      </c>
      <c r="D61" s="134">
        <v>0.0984</v>
      </c>
      <c r="E61" s="133" t="s">
        <v>436</v>
      </c>
      <c r="F61" s="133">
        <v>141</v>
      </c>
      <c r="G61" s="133">
        <v>820</v>
      </c>
    </row>
    <row r="62" spans="1:7" ht="12.75">
      <c r="A62" s="69" t="s">
        <v>309</v>
      </c>
      <c r="B62" s="133">
        <v>1.58</v>
      </c>
      <c r="C62" s="134">
        <v>0.002</v>
      </c>
      <c r="D62" s="134">
        <v>0.1005</v>
      </c>
      <c r="E62" s="133" t="s">
        <v>436</v>
      </c>
      <c r="F62" s="133">
        <v>210</v>
      </c>
      <c r="G62" s="133">
        <v>980</v>
      </c>
    </row>
    <row r="63" spans="1:7" ht="12.75">
      <c r="A63" s="20" t="s">
        <v>240</v>
      </c>
      <c r="B63" s="16">
        <v>1.59</v>
      </c>
      <c r="C63" s="22">
        <v>0.0027</v>
      </c>
      <c r="D63" s="22">
        <v>0.1282</v>
      </c>
      <c r="E63" s="22" t="s">
        <v>432</v>
      </c>
      <c r="F63" s="16">
        <v>140</v>
      </c>
      <c r="G63" s="16">
        <v>840</v>
      </c>
    </row>
    <row r="64" spans="1:7" ht="12.75">
      <c r="A64" s="69" t="s">
        <v>315</v>
      </c>
      <c r="B64" s="133">
        <v>1.59</v>
      </c>
      <c r="C64" s="134">
        <v>0.0015</v>
      </c>
      <c r="D64" s="134">
        <v>0.0975</v>
      </c>
      <c r="E64" s="133" t="s">
        <v>436</v>
      </c>
      <c r="F64" s="133">
        <v>216</v>
      </c>
      <c r="G64" s="133">
        <v>700</v>
      </c>
    </row>
    <row r="65" spans="1:7" ht="12.75">
      <c r="A65" s="79" t="s">
        <v>396</v>
      </c>
      <c r="B65" s="80">
        <v>1.59</v>
      </c>
      <c r="C65" s="82">
        <v>0.0007</v>
      </c>
      <c r="D65" s="82">
        <v>0.0784</v>
      </c>
      <c r="E65" s="82" t="s">
        <v>437</v>
      </c>
      <c r="F65" s="80">
        <v>396</v>
      </c>
      <c r="G65" s="80">
        <v>390</v>
      </c>
    </row>
    <row r="66" spans="1:7" ht="12.75">
      <c r="A66" s="20" t="s">
        <v>140</v>
      </c>
      <c r="B66" s="16">
        <v>1.6</v>
      </c>
      <c r="C66" s="22">
        <v>0.0008</v>
      </c>
      <c r="D66" s="22">
        <v>0.1229</v>
      </c>
      <c r="E66" s="16" t="s">
        <v>432</v>
      </c>
      <c r="F66" s="16">
        <v>74</v>
      </c>
      <c r="G66" s="16">
        <v>1550</v>
      </c>
    </row>
    <row r="67" spans="1:7" ht="12.75">
      <c r="A67" s="20" t="s">
        <v>174</v>
      </c>
      <c r="B67" s="16">
        <v>1.6</v>
      </c>
      <c r="C67" s="22">
        <v>0.0008</v>
      </c>
      <c r="D67" s="22">
        <v>0.1229</v>
      </c>
      <c r="E67" s="16" t="s">
        <v>432</v>
      </c>
      <c r="F67" s="16">
        <v>80.5</v>
      </c>
      <c r="G67" s="16">
        <v>1130</v>
      </c>
    </row>
    <row r="68" spans="1:7" ht="12.75">
      <c r="A68" s="20" t="s">
        <v>248</v>
      </c>
      <c r="B68" s="16">
        <v>1.6</v>
      </c>
      <c r="C68" s="22">
        <v>0.0001</v>
      </c>
      <c r="D68" s="22">
        <v>0.12210000000000001</v>
      </c>
      <c r="E68" s="22" t="s">
        <v>432</v>
      </c>
      <c r="F68" s="16">
        <v>141</v>
      </c>
      <c r="G68" s="16">
        <v>1200</v>
      </c>
    </row>
    <row r="69" spans="1:7" ht="12.75">
      <c r="A69" s="20" t="s">
        <v>282</v>
      </c>
      <c r="B69" s="16">
        <v>1.6</v>
      </c>
      <c r="C69" s="22">
        <v>0.00030000000000000003</v>
      </c>
      <c r="D69" s="22">
        <v>0.1223</v>
      </c>
      <c r="E69" s="22" t="s">
        <v>432</v>
      </c>
      <c r="F69" s="16">
        <v>171</v>
      </c>
      <c r="G69" s="16">
        <v>760</v>
      </c>
    </row>
    <row r="70" spans="1:7" ht="12.75">
      <c r="A70" s="69" t="s">
        <v>311</v>
      </c>
      <c r="B70" s="133">
        <v>1.6</v>
      </c>
      <c r="C70" s="134">
        <v>0.0014</v>
      </c>
      <c r="D70" s="134">
        <v>0.0949</v>
      </c>
      <c r="E70" s="133" t="s">
        <v>436</v>
      </c>
      <c r="F70" s="133">
        <v>216</v>
      </c>
      <c r="G70" s="133">
        <v>820</v>
      </c>
    </row>
    <row r="71" spans="1:7" ht="12.75">
      <c r="A71" s="79" t="s">
        <v>323</v>
      </c>
      <c r="B71" s="80">
        <v>1.6</v>
      </c>
      <c r="C71" s="82">
        <v>0.0017000000000000001</v>
      </c>
      <c r="D71" s="82">
        <v>0.0774</v>
      </c>
      <c r="E71" s="80" t="s">
        <v>437</v>
      </c>
      <c r="F71" s="80">
        <v>216</v>
      </c>
      <c r="G71" s="80">
        <v>550</v>
      </c>
    </row>
    <row r="72" spans="1:7" ht="12.75">
      <c r="A72" s="79" t="s">
        <v>329</v>
      </c>
      <c r="B72" s="80">
        <v>1.61</v>
      </c>
      <c r="C72" s="82">
        <v>0.0009000000000000001</v>
      </c>
      <c r="D72" s="82">
        <v>0.0747</v>
      </c>
      <c r="E72" s="80" t="s">
        <v>437</v>
      </c>
      <c r="F72" s="80">
        <v>253</v>
      </c>
      <c r="G72" s="80">
        <v>650</v>
      </c>
    </row>
    <row r="73" spans="1:7" ht="12.75">
      <c r="A73" s="69" t="s">
        <v>358</v>
      </c>
      <c r="B73" s="133">
        <v>1.61</v>
      </c>
      <c r="C73" s="134">
        <v>0.0001</v>
      </c>
      <c r="D73" s="134">
        <v>0.091</v>
      </c>
      <c r="E73" s="133" t="s">
        <v>436</v>
      </c>
      <c r="F73" s="133">
        <v>288</v>
      </c>
      <c r="G73" s="133">
        <v>420</v>
      </c>
    </row>
    <row r="74" spans="1:7" ht="12.75">
      <c r="A74" s="90" t="s">
        <v>400</v>
      </c>
      <c r="B74" s="91">
        <v>1.61</v>
      </c>
      <c r="C74" s="93">
        <v>0.0002</v>
      </c>
      <c r="D74" s="93">
        <v>0.1189</v>
      </c>
      <c r="E74" s="91" t="s">
        <v>438</v>
      </c>
      <c r="F74" s="91">
        <v>396</v>
      </c>
      <c r="G74" s="91">
        <v>300</v>
      </c>
    </row>
    <row r="75" spans="1:7" ht="12.75">
      <c r="A75" s="20" t="s">
        <v>189</v>
      </c>
      <c r="B75" s="16">
        <v>1.61</v>
      </c>
      <c r="C75" s="22">
        <v>0.0026000000000000003</v>
      </c>
      <c r="D75" s="22">
        <v>0.1216</v>
      </c>
      <c r="E75" s="16" t="s">
        <v>432</v>
      </c>
      <c r="F75" s="16">
        <v>95</v>
      </c>
      <c r="G75" s="16">
        <v>1220</v>
      </c>
    </row>
    <row r="76" spans="1:7" ht="12.75">
      <c r="A76" s="20" t="s">
        <v>116</v>
      </c>
      <c r="B76" s="16">
        <v>1.62</v>
      </c>
      <c r="C76" s="22">
        <v>0.0022</v>
      </c>
      <c r="D76" s="22">
        <v>0.11800000000000001</v>
      </c>
      <c r="E76" s="16" t="s">
        <v>432</v>
      </c>
      <c r="F76" s="16">
        <v>61</v>
      </c>
      <c r="G76" s="16">
        <v>1350</v>
      </c>
    </row>
    <row r="77" spans="1:7" ht="12.75">
      <c r="A77" s="20" t="s">
        <v>271</v>
      </c>
      <c r="B77" s="16">
        <v>1.62</v>
      </c>
      <c r="C77" s="22">
        <v>0.00030000000000000003</v>
      </c>
      <c r="D77" s="22">
        <v>0.1158</v>
      </c>
      <c r="E77" s="22" t="s">
        <v>432</v>
      </c>
      <c r="F77" s="16">
        <v>166</v>
      </c>
      <c r="G77" s="16">
        <v>890</v>
      </c>
    </row>
    <row r="78" spans="1:7" ht="12.75">
      <c r="A78" s="69" t="s">
        <v>295</v>
      </c>
      <c r="B78" s="133">
        <v>1.62</v>
      </c>
      <c r="C78" s="134">
        <v>0.0007</v>
      </c>
      <c r="D78" s="134">
        <v>0.08929999999999999</v>
      </c>
      <c r="E78" s="133" t="s">
        <v>436</v>
      </c>
      <c r="F78" s="133">
        <v>178</v>
      </c>
      <c r="G78" s="133">
        <v>1100</v>
      </c>
    </row>
    <row r="79" spans="1:7" ht="12.75">
      <c r="A79" s="69" t="s">
        <v>296</v>
      </c>
      <c r="B79" s="133">
        <v>1.62</v>
      </c>
      <c r="C79" s="134">
        <v>0.0007</v>
      </c>
      <c r="D79" s="134">
        <v>0.0892</v>
      </c>
      <c r="E79" s="133" t="s">
        <v>436</v>
      </c>
      <c r="F79" s="133">
        <v>178</v>
      </c>
      <c r="G79" s="133">
        <v>950</v>
      </c>
    </row>
    <row r="80" spans="1:7" ht="12.75">
      <c r="A80" s="69" t="s">
        <v>329</v>
      </c>
      <c r="B80" s="133">
        <v>1.62</v>
      </c>
      <c r="C80" s="134">
        <v>0.0007</v>
      </c>
      <c r="D80" s="134">
        <v>0.08929999999999999</v>
      </c>
      <c r="E80" s="133" t="s">
        <v>436</v>
      </c>
      <c r="F80" s="133">
        <v>253</v>
      </c>
      <c r="G80" s="133">
        <v>650</v>
      </c>
    </row>
    <row r="81" spans="1:7" ht="12.75">
      <c r="A81" s="1" t="s">
        <v>136</v>
      </c>
      <c r="B81" s="2">
        <v>1.63</v>
      </c>
      <c r="C81" s="4">
        <v>0.0014</v>
      </c>
      <c r="D81" s="4">
        <v>0.1635</v>
      </c>
      <c r="E81" s="2" t="s">
        <v>431</v>
      </c>
      <c r="F81" s="2">
        <v>74</v>
      </c>
      <c r="G81" s="2">
        <v>2300</v>
      </c>
    </row>
    <row r="82" spans="1:7" ht="12.75">
      <c r="A82" s="69" t="s">
        <v>252</v>
      </c>
      <c r="B82" s="133">
        <v>1.63</v>
      </c>
      <c r="C82" s="134">
        <v>0.001</v>
      </c>
      <c r="D82" s="134">
        <v>0.0872</v>
      </c>
      <c r="E82" s="133" t="s">
        <v>436</v>
      </c>
      <c r="F82" s="133">
        <v>141</v>
      </c>
      <c r="G82" s="133">
        <v>1000</v>
      </c>
    </row>
    <row r="83" spans="1:7" ht="12.75">
      <c r="A83" s="79" t="s">
        <v>298</v>
      </c>
      <c r="B83" s="80">
        <v>1.63</v>
      </c>
      <c r="C83" s="82">
        <v>0.0011</v>
      </c>
      <c r="D83" s="82">
        <v>0.079</v>
      </c>
      <c r="E83" s="80" t="s">
        <v>437</v>
      </c>
      <c r="F83" s="80">
        <v>178</v>
      </c>
      <c r="G83" s="80">
        <v>740</v>
      </c>
    </row>
    <row r="84" spans="1:7" ht="12.75">
      <c r="A84" s="69" t="s">
        <v>326</v>
      </c>
      <c r="B84" s="133">
        <v>1.63</v>
      </c>
      <c r="C84" s="134">
        <v>0.0012000000000000001</v>
      </c>
      <c r="D84" s="134">
        <v>0.0874</v>
      </c>
      <c r="E84" s="133" t="s">
        <v>436</v>
      </c>
      <c r="F84" s="133">
        <v>253</v>
      </c>
      <c r="G84" s="133">
        <v>780</v>
      </c>
    </row>
    <row r="85" spans="1:7" ht="12.75">
      <c r="A85" s="79" t="s">
        <v>333</v>
      </c>
      <c r="B85" s="80">
        <v>1.64</v>
      </c>
      <c r="C85" s="82">
        <v>0.0001</v>
      </c>
      <c r="D85" s="82">
        <v>0.0679</v>
      </c>
      <c r="E85" s="80" t="s">
        <v>437</v>
      </c>
      <c r="F85" s="80">
        <v>253</v>
      </c>
      <c r="G85" s="80">
        <v>560</v>
      </c>
    </row>
    <row r="86" spans="1:7" ht="12.75">
      <c r="A86" s="20" t="s">
        <v>182</v>
      </c>
      <c r="B86" s="16">
        <v>1.65</v>
      </c>
      <c r="C86" s="22">
        <v>0.0027</v>
      </c>
      <c r="D86" s="22">
        <v>0.109</v>
      </c>
      <c r="E86" s="16" t="s">
        <v>432</v>
      </c>
      <c r="F86" s="16">
        <v>88</v>
      </c>
      <c r="G86" s="16">
        <v>1500</v>
      </c>
    </row>
    <row r="87" spans="1:7" ht="12.75">
      <c r="A87" s="20" t="s">
        <v>191</v>
      </c>
      <c r="B87" s="16">
        <v>1.65</v>
      </c>
      <c r="C87" s="22">
        <v>0.0018000000000000002</v>
      </c>
      <c r="D87" s="22">
        <v>0.1079</v>
      </c>
      <c r="E87" s="22" t="s">
        <v>432</v>
      </c>
      <c r="F87" s="16">
        <v>95</v>
      </c>
      <c r="G87" s="16">
        <v>1090</v>
      </c>
    </row>
    <row r="88" spans="1:7" ht="12.75">
      <c r="A88" s="20" t="s">
        <v>236</v>
      </c>
      <c r="B88" s="16">
        <v>1.65</v>
      </c>
      <c r="C88" s="22">
        <v>0.002</v>
      </c>
      <c r="D88" s="22">
        <v>0.1082</v>
      </c>
      <c r="E88" s="22" t="s">
        <v>432</v>
      </c>
      <c r="F88" s="16">
        <v>138</v>
      </c>
      <c r="G88" s="16">
        <v>970</v>
      </c>
    </row>
    <row r="89" spans="1:7" ht="12.75">
      <c r="A89" s="90" t="s">
        <v>338</v>
      </c>
      <c r="B89" s="91">
        <v>1.65</v>
      </c>
      <c r="C89" s="93">
        <v>0.00030000000000000003</v>
      </c>
      <c r="D89" s="93">
        <v>0.1063</v>
      </c>
      <c r="E89" s="91" t="s">
        <v>438</v>
      </c>
      <c r="F89" s="91">
        <v>253</v>
      </c>
      <c r="G89" s="91">
        <v>430</v>
      </c>
    </row>
    <row r="90" spans="1:7" ht="12.75">
      <c r="A90" s="69" t="s">
        <v>381</v>
      </c>
      <c r="B90" s="133">
        <v>1.65</v>
      </c>
      <c r="C90" s="134">
        <v>0.0014</v>
      </c>
      <c r="D90" s="134">
        <v>0.0828</v>
      </c>
      <c r="E90" s="133" t="s">
        <v>436</v>
      </c>
      <c r="F90" s="133">
        <v>290</v>
      </c>
      <c r="G90" s="133">
        <v>430</v>
      </c>
    </row>
    <row r="91" spans="1:7" ht="12.75">
      <c r="A91" s="120" t="s">
        <v>417</v>
      </c>
      <c r="B91" s="121">
        <v>1.65</v>
      </c>
      <c r="C91" s="123">
        <v>0.0004</v>
      </c>
      <c r="D91" s="123">
        <v>0.0516</v>
      </c>
      <c r="E91" s="121" t="s">
        <v>442</v>
      </c>
      <c r="F91" s="121">
        <v>409</v>
      </c>
      <c r="G91" s="121">
        <v>305</v>
      </c>
    </row>
    <row r="92" spans="1:7" ht="12.75">
      <c r="A92" s="20" t="s">
        <v>172</v>
      </c>
      <c r="B92" s="16">
        <v>1.66</v>
      </c>
      <c r="C92" s="22">
        <v>0.0001</v>
      </c>
      <c r="D92" s="22">
        <v>0.10279999999999999</v>
      </c>
      <c r="E92" s="16" t="s">
        <v>432</v>
      </c>
      <c r="F92" s="16">
        <v>80.5</v>
      </c>
      <c r="G92" s="16">
        <v>1330</v>
      </c>
    </row>
    <row r="93" spans="1:7" ht="12.75">
      <c r="A93" s="20" t="s">
        <v>279</v>
      </c>
      <c r="B93" s="16">
        <v>1.66</v>
      </c>
      <c r="C93" s="22">
        <v>0.0026000000000000003</v>
      </c>
      <c r="D93" s="22">
        <v>0.1056</v>
      </c>
      <c r="E93" s="22" t="s">
        <v>432</v>
      </c>
      <c r="F93" s="16">
        <v>171</v>
      </c>
      <c r="G93" s="16">
        <v>930</v>
      </c>
    </row>
    <row r="94" spans="1:7" ht="12.75">
      <c r="A94" s="79" t="s">
        <v>387</v>
      </c>
      <c r="B94" s="80">
        <v>1.66</v>
      </c>
      <c r="C94" s="82">
        <v>0.0017000000000000001</v>
      </c>
      <c r="D94" s="82">
        <v>0.0658</v>
      </c>
      <c r="E94" s="82" t="s">
        <v>437</v>
      </c>
      <c r="F94" s="80">
        <v>353</v>
      </c>
      <c r="G94" s="80">
        <v>440</v>
      </c>
    </row>
    <row r="95" spans="1:7" ht="12.75">
      <c r="A95" s="79" t="s">
        <v>392</v>
      </c>
      <c r="B95" s="80">
        <v>1.66</v>
      </c>
      <c r="C95" s="82">
        <v>0</v>
      </c>
      <c r="D95" s="82">
        <v>0.064</v>
      </c>
      <c r="E95" s="82" t="s">
        <v>437</v>
      </c>
      <c r="F95" s="80">
        <v>400</v>
      </c>
      <c r="G95" s="80">
        <v>450</v>
      </c>
    </row>
    <row r="96" spans="1:7" ht="12.75">
      <c r="A96" s="69" t="s">
        <v>248</v>
      </c>
      <c r="B96" s="133">
        <v>1.67</v>
      </c>
      <c r="C96" s="134">
        <v>0.0009000000000000001</v>
      </c>
      <c r="D96" s="134">
        <v>0.0774</v>
      </c>
      <c r="E96" s="133" t="s">
        <v>436</v>
      </c>
      <c r="F96" s="133">
        <v>141</v>
      </c>
      <c r="G96" s="133">
        <v>1200</v>
      </c>
    </row>
    <row r="97" spans="1:7" ht="12.75">
      <c r="A97" s="20" t="s">
        <v>307</v>
      </c>
      <c r="B97" s="16">
        <v>1.67</v>
      </c>
      <c r="C97" s="22">
        <v>0.0022</v>
      </c>
      <c r="D97" s="22">
        <v>0.102</v>
      </c>
      <c r="E97" s="22" t="s">
        <v>432</v>
      </c>
      <c r="F97" s="16">
        <v>205</v>
      </c>
      <c r="G97" s="16">
        <v>710</v>
      </c>
    </row>
    <row r="98" spans="1:7" ht="12.75">
      <c r="A98" s="79" t="s">
        <v>315</v>
      </c>
      <c r="B98" s="80">
        <v>1.67</v>
      </c>
      <c r="C98" s="82">
        <v>0.0016</v>
      </c>
      <c r="D98" s="82">
        <v>0.0637</v>
      </c>
      <c r="E98" s="80" t="s">
        <v>437</v>
      </c>
      <c r="F98" s="80">
        <v>216</v>
      </c>
      <c r="G98" s="80">
        <v>700</v>
      </c>
    </row>
    <row r="99" spans="1:7" ht="12.75">
      <c r="A99" s="79" t="s">
        <v>381</v>
      </c>
      <c r="B99" s="80">
        <v>1.67</v>
      </c>
      <c r="C99" s="82">
        <v>0.0012000000000000001</v>
      </c>
      <c r="D99" s="82">
        <v>0.0633</v>
      </c>
      <c r="E99" s="82" t="s">
        <v>437</v>
      </c>
      <c r="F99" s="80">
        <v>290</v>
      </c>
      <c r="G99" s="80">
        <v>430</v>
      </c>
    </row>
    <row r="100" spans="1:7" ht="12.75">
      <c r="A100" s="69" t="s">
        <v>279</v>
      </c>
      <c r="B100" s="133">
        <v>1.6800000000000002</v>
      </c>
      <c r="C100" s="134">
        <v>0.00030000000000000003</v>
      </c>
      <c r="D100" s="134">
        <v>0.07440000000000001</v>
      </c>
      <c r="E100" s="133" t="s">
        <v>436</v>
      </c>
      <c r="F100" s="133">
        <v>171</v>
      </c>
      <c r="G100" s="133">
        <v>930</v>
      </c>
    </row>
    <row r="101" spans="1:7" ht="12.75">
      <c r="A101" s="79" t="s">
        <v>328</v>
      </c>
      <c r="B101" s="80">
        <v>1.6800000000000002</v>
      </c>
      <c r="C101" s="82">
        <v>0.001</v>
      </c>
      <c r="D101" s="82">
        <v>0.0611</v>
      </c>
      <c r="E101" s="80" t="s">
        <v>437</v>
      </c>
      <c r="F101" s="80">
        <v>253</v>
      </c>
      <c r="G101" s="80">
        <v>780</v>
      </c>
    </row>
    <row r="102" spans="1:7" ht="12.75">
      <c r="A102" s="69" t="s">
        <v>377</v>
      </c>
      <c r="B102" s="133">
        <v>1.6800000000000002</v>
      </c>
      <c r="C102" s="134">
        <v>0.0002</v>
      </c>
      <c r="D102" s="134">
        <v>0.0742</v>
      </c>
      <c r="E102" s="133" t="s">
        <v>436</v>
      </c>
      <c r="F102" s="133">
        <v>290</v>
      </c>
      <c r="G102" s="133">
        <v>540</v>
      </c>
    </row>
    <row r="103" spans="1:7" ht="12.75">
      <c r="A103" s="69" t="s">
        <v>282</v>
      </c>
      <c r="B103" s="133">
        <v>1.69</v>
      </c>
      <c r="C103" s="134">
        <v>0.0018000000000000002</v>
      </c>
      <c r="D103" s="134">
        <v>0.0736</v>
      </c>
      <c r="E103" s="133" t="s">
        <v>436</v>
      </c>
      <c r="F103" s="133">
        <v>171</v>
      </c>
      <c r="G103" s="133">
        <v>760</v>
      </c>
    </row>
    <row r="104" spans="1:7" ht="12.75">
      <c r="A104" s="79" t="s">
        <v>358</v>
      </c>
      <c r="B104" s="80">
        <v>1.69</v>
      </c>
      <c r="C104" s="82">
        <v>0.0007</v>
      </c>
      <c r="D104" s="82">
        <v>0.058899999999999994</v>
      </c>
      <c r="E104" s="82" t="s">
        <v>437</v>
      </c>
      <c r="F104" s="80">
        <v>288</v>
      </c>
      <c r="G104" s="80">
        <v>420</v>
      </c>
    </row>
    <row r="105" spans="1:7" ht="12.75">
      <c r="A105" s="129" t="s">
        <v>216</v>
      </c>
      <c r="B105" s="130">
        <v>1.7000000000000002</v>
      </c>
      <c r="C105" s="131">
        <v>0.00030000000000000003</v>
      </c>
      <c r="D105" s="131">
        <v>0.09050000000000001</v>
      </c>
      <c r="E105" s="131" t="s">
        <v>432</v>
      </c>
      <c r="F105" s="16">
        <v>109</v>
      </c>
      <c r="G105" s="16">
        <v>1050</v>
      </c>
    </row>
    <row r="106" spans="1:7" ht="12.75">
      <c r="A106" s="79" t="s">
        <v>296</v>
      </c>
      <c r="B106" s="80">
        <v>1.7000000000000002</v>
      </c>
      <c r="C106" s="82">
        <v>0.0004</v>
      </c>
      <c r="D106" s="82">
        <v>0.0567</v>
      </c>
      <c r="E106" s="80" t="s">
        <v>437</v>
      </c>
      <c r="F106" s="80">
        <v>178</v>
      </c>
      <c r="G106" s="80">
        <v>950</v>
      </c>
    </row>
    <row r="107" spans="1:7" ht="12.75">
      <c r="A107" s="69" t="s">
        <v>355</v>
      </c>
      <c r="B107" s="133">
        <v>1.71</v>
      </c>
      <c r="C107" s="134">
        <v>0.0001</v>
      </c>
      <c r="D107" s="134">
        <v>0.067</v>
      </c>
      <c r="E107" s="133" t="s">
        <v>436</v>
      </c>
      <c r="F107" s="133">
        <v>288</v>
      </c>
      <c r="G107" s="133">
        <v>540</v>
      </c>
    </row>
    <row r="108" spans="1:7" ht="12.75">
      <c r="A108" s="90" t="s">
        <v>396</v>
      </c>
      <c r="B108" s="91">
        <v>1.71</v>
      </c>
      <c r="C108" s="93">
        <v>0.0025</v>
      </c>
      <c r="D108" s="93">
        <v>0.0897</v>
      </c>
      <c r="E108" s="91" t="s">
        <v>438</v>
      </c>
      <c r="F108" s="91">
        <v>396</v>
      </c>
      <c r="G108" s="91">
        <v>390</v>
      </c>
    </row>
    <row r="109" spans="1:7" ht="12.75">
      <c r="A109" s="69" t="s">
        <v>220</v>
      </c>
      <c r="B109" s="133">
        <v>1.72</v>
      </c>
      <c r="C109" s="134">
        <v>0.0005</v>
      </c>
      <c r="D109" s="134">
        <v>0.065</v>
      </c>
      <c r="E109" s="133" t="s">
        <v>436</v>
      </c>
      <c r="F109" s="133">
        <v>109</v>
      </c>
      <c r="G109" s="133">
        <v>850</v>
      </c>
    </row>
    <row r="110" spans="1:7" ht="12.75">
      <c r="A110" s="79" t="s">
        <v>377</v>
      </c>
      <c r="B110" s="80">
        <v>1.72</v>
      </c>
      <c r="C110" s="82">
        <v>0.0015</v>
      </c>
      <c r="D110" s="82">
        <v>0.053899999999999997</v>
      </c>
      <c r="E110" s="82" t="s">
        <v>437</v>
      </c>
      <c r="F110" s="80">
        <v>290</v>
      </c>
      <c r="G110" s="80">
        <v>540</v>
      </c>
    </row>
    <row r="111" spans="1:7" ht="12.75">
      <c r="A111" s="69" t="s">
        <v>240</v>
      </c>
      <c r="B111" s="133">
        <v>1.73</v>
      </c>
      <c r="C111" s="134">
        <v>0.0014</v>
      </c>
      <c r="D111" s="134">
        <v>0.0636</v>
      </c>
      <c r="E111" s="133" t="s">
        <v>436</v>
      </c>
      <c r="F111" s="133">
        <v>140</v>
      </c>
      <c r="G111" s="133">
        <v>840</v>
      </c>
    </row>
    <row r="112" spans="1:7" ht="12.75">
      <c r="A112" s="20" t="s">
        <v>369</v>
      </c>
      <c r="B112" s="16">
        <v>1.73</v>
      </c>
      <c r="C112" s="22">
        <v>0.0005</v>
      </c>
      <c r="D112" s="22">
        <v>0.08130000000000001</v>
      </c>
      <c r="E112" s="22" t="s">
        <v>432</v>
      </c>
      <c r="F112" s="16">
        <v>293</v>
      </c>
      <c r="G112" s="16">
        <v>850</v>
      </c>
    </row>
    <row r="113" spans="1:7" ht="12.75">
      <c r="A113" s="79" t="s">
        <v>384</v>
      </c>
      <c r="B113" s="80">
        <v>1.73</v>
      </c>
      <c r="C113" s="82">
        <v>0.0006000000000000001</v>
      </c>
      <c r="D113" s="82">
        <v>0.051</v>
      </c>
      <c r="E113" s="82" t="s">
        <v>437</v>
      </c>
      <c r="F113" s="80">
        <v>353</v>
      </c>
      <c r="G113" s="80">
        <v>520</v>
      </c>
    </row>
    <row r="114" spans="1:7" ht="12.75">
      <c r="A114" s="69" t="s">
        <v>375</v>
      </c>
      <c r="B114" s="133">
        <v>1.74</v>
      </c>
      <c r="C114" s="134">
        <v>0.0016</v>
      </c>
      <c r="D114" s="134">
        <v>0.061399999999999996</v>
      </c>
      <c r="E114" s="133" t="s">
        <v>436</v>
      </c>
      <c r="F114" s="133">
        <v>290</v>
      </c>
      <c r="G114" s="133">
        <v>610</v>
      </c>
    </row>
    <row r="115" spans="1:7" ht="12.75">
      <c r="A115" s="90" t="s">
        <v>392</v>
      </c>
      <c r="B115" s="91">
        <v>1.74</v>
      </c>
      <c r="C115" s="93">
        <v>0.0012000000000000001</v>
      </c>
      <c r="D115" s="93">
        <v>0.0789</v>
      </c>
      <c r="E115" s="91" t="s">
        <v>438</v>
      </c>
      <c r="F115" s="91">
        <v>400</v>
      </c>
      <c r="G115" s="91">
        <v>450</v>
      </c>
    </row>
    <row r="116" spans="1:7" ht="12.75">
      <c r="A116" s="112" t="s">
        <v>417</v>
      </c>
      <c r="B116" s="113">
        <v>1.74</v>
      </c>
      <c r="C116" s="115">
        <v>0.0011</v>
      </c>
      <c r="D116" s="115">
        <v>0.0346</v>
      </c>
      <c r="E116" s="113" t="s">
        <v>441</v>
      </c>
      <c r="F116" s="113">
        <v>409</v>
      </c>
      <c r="G116" s="113">
        <v>305</v>
      </c>
    </row>
    <row r="117" spans="1:7" ht="12.75">
      <c r="A117" s="104" t="s">
        <v>400</v>
      </c>
      <c r="B117" s="105">
        <v>1.75</v>
      </c>
      <c r="C117" s="107">
        <v>0.0001</v>
      </c>
      <c r="D117" s="107">
        <v>0.0575</v>
      </c>
      <c r="E117" s="105" t="s">
        <v>440</v>
      </c>
      <c r="F117" s="105">
        <v>396</v>
      </c>
      <c r="G117" s="105">
        <v>300</v>
      </c>
    </row>
    <row r="118" spans="1:7" ht="12.75">
      <c r="A118" s="69" t="s">
        <v>372</v>
      </c>
      <c r="B118" s="133">
        <v>1.77</v>
      </c>
      <c r="C118" s="134">
        <v>0.0018000000000000002</v>
      </c>
      <c r="D118" s="134">
        <v>0.0546</v>
      </c>
      <c r="E118" s="133" t="s">
        <v>436</v>
      </c>
      <c r="F118" s="133">
        <v>293</v>
      </c>
      <c r="G118" s="133">
        <v>710</v>
      </c>
    </row>
    <row r="119" spans="1:7" ht="12.75">
      <c r="A119" s="79" t="s">
        <v>372</v>
      </c>
      <c r="B119" s="80">
        <v>1.77</v>
      </c>
      <c r="C119" s="82">
        <v>0.0001</v>
      </c>
      <c r="D119" s="82">
        <v>0.0429</v>
      </c>
      <c r="E119" s="82" t="s">
        <v>437</v>
      </c>
      <c r="F119" s="80">
        <v>293</v>
      </c>
      <c r="G119" s="80">
        <v>710</v>
      </c>
    </row>
    <row r="120" spans="1:7" ht="12.75">
      <c r="A120" s="112" t="s">
        <v>406</v>
      </c>
      <c r="B120" s="113">
        <v>1.77</v>
      </c>
      <c r="C120" s="115">
        <v>0.0008</v>
      </c>
      <c r="D120" s="115">
        <v>0.024399999999999998</v>
      </c>
      <c r="E120" s="113" t="s">
        <v>441</v>
      </c>
      <c r="F120" s="113">
        <v>409</v>
      </c>
      <c r="G120" s="113">
        <v>385</v>
      </c>
    </row>
    <row r="121" spans="1:7" ht="12.75">
      <c r="A121" s="20" t="s">
        <v>229</v>
      </c>
      <c r="B121" s="16">
        <v>1.78</v>
      </c>
      <c r="C121" s="22">
        <v>0.0019</v>
      </c>
      <c r="D121" s="22">
        <v>-0.0392</v>
      </c>
      <c r="E121" s="22" t="s">
        <v>432</v>
      </c>
      <c r="F121" s="16">
        <v>139</v>
      </c>
      <c r="G121" s="16">
        <v>1450</v>
      </c>
    </row>
    <row r="122" spans="1:7" ht="12.75">
      <c r="A122" s="20" t="s">
        <v>277</v>
      </c>
      <c r="B122" s="16">
        <v>1.78</v>
      </c>
      <c r="C122" s="22">
        <v>0.0008</v>
      </c>
      <c r="D122" s="22">
        <v>0.0662</v>
      </c>
      <c r="E122" s="22" t="s">
        <v>432</v>
      </c>
      <c r="F122" s="16">
        <v>171</v>
      </c>
      <c r="G122" s="16">
        <v>1130</v>
      </c>
    </row>
    <row r="123" spans="1:7" ht="12.75">
      <c r="A123" s="20" t="s">
        <v>304</v>
      </c>
      <c r="B123" s="16">
        <v>1.78</v>
      </c>
      <c r="C123" s="22">
        <v>0.002</v>
      </c>
      <c r="D123" s="22">
        <v>0.0674</v>
      </c>
      <c r="E123" s="22" t="s">
        <v>432</v>
      </c>
      <c r="F123" s="16">
        <v>205</v>
      </c>
      <c r="G123" s="16">
        <v>890</v>
      </c>
    </row>
    <row r="124" spans="1:7" ht="12.75">
      <c r="A124" s="79" t="s">
        <v>351</v>
      </c>
      <c r="B124" s="80">
        <v>1.78</v>
      </c>
      <c r="C124" s="82">
        <v>0.0001</v>
      </c>
      <c r="D124" s="82">
        <v>0.040999999999999995</v>
      </c>
      <c r="E124" s="80" t="s">
        <v>437</v>
      </c>
      <c r="F124" s="80">
        <v>288</v>
      </c>
      <c r="G124" s="80">
        <v>630</v>
      </c>
    </row>
    <row r="125" spans="1:7" ht="12.75">
      <c r="A125" s="90" t="s">
        <v>389</v>
      </c>
      <c r="B125" s="91">
        <v>1.78</v>
      </c>
      <c r="C125" s="93">
        <v>0.0014</v>
      </c>
      <c r="D125" s="93">
        <v>0.0669</v>
      </c>
      <c r="E125" s="91" t="s">
        <v>438</v>
      </c>
      <c r="F125" s="91">
        <v>398</v>
      </c>
      <c r="G125" s="91">
        <v>540</v>
      </c>
    </row>
    <row r="126" spans="1:7" ht="12.75">
      <c r="A126" s="20" t="s">
        <v>233</v>
      </c>
      <c r="B126" s="16">
        <v>1.79</v>
      </c>
      <c r="C126" s="22">
        <v>0.0005</v>
      </c>
      <c r="D126" s="22">
        <v>0.06280000000000001</v>
      </c>
      <c r="E126" s="22" t="s">
        <v>432</v>
      </c>
      <c r="F126" s="16">
        <v>142</v>
      </c>
      <c r="G126" s="16">
        <v>1170</v>
      </c>
    </row>
    <row r="127" spans="1:7" ht="12.75">
      <c r="A127" s="20" t="s">
        <v>272</v>
      </c>
      <c r="B127" s="16">
        <v>1.79</v>
      </c>
      <c r="C127" s="22">
        <v>0.0011</v>
      </c>
      <c r="D127" s="22">
        <v>0.0635</v>
      </c>
      <c r="E127" s="22" t="s">
        <v>432</v>
      </c>
      <c r="F127" s="16">
        <v>166</v>
      </c>
      <c r="G127" s="16">
        <v>780</v>
      </c>
    </row>
    <row r="128" spans="1:7" ht="12.75">
      <c r="A128" s="79" t="s">
        <v>282</v>
      </c>
      <c r="B128" s="80">
        <v>1.79</v>
      </c>
      <c r="C128" s="82">
        <v>0.0017000000000000001</v>
      </c>
      <c r="D128" s="82">
        <v>0.0408</v>
      </c>
      <c r="E128" s="80" t="s">
        <v>437</v>
      </c>
      <c r="F128" s="80">
        <v>171</v>
      </c>
      <c r="G128" s="80">
        <v>760</v>
      </c>
    </row>
    <row r="129" spans="1:7" ht="12.75">
      <c r="A129" s="69" t="s">
        <v>351</v>
      </c>
      <c r="B129" s="133">
        <v>1.79</v>
      </c>
      <c r="C129" s="134">
        <v>0.0017000000000000001</v>
      </c>
      <c r="D129" s="134">
        <v>0.049699999999999994</v>
      </c>
      <c r="E129" s="133" t="s">
        <v>436</v>
      </c>
      <c r="F129" s="133">
        <v>288</v>
      </c>
      <c r="G129" s="133">
        <v>630</v>
      </c>
    </row>
    <row r="130" spans="1:7" ht="12.75">
      <c r="A130" s="79" t="s">
        <v>389</v>
      </c>
      <c r="B130" s="80">
        <v>1.79</v>
      </c>
      <c r="C130" s="82">
        <v>0.0006000000000000001</v>
      </c>
      <c r="D130" s="82">
        <v>0.0397</v>
      </c>
      <c r="E130" s="82" t="s">
        <v>437</v>
      </c>
      <c r="F130" s="80">
        <v>398</v>
      </c>
      <c r="G130" s="80">
        <v>540</v>
      </c>
    </row>
    <row r="131" spans="1:7" ht="12.75">
      <c r="A131" s="129" t="s">
        <v>214</v>
      </c>
      <c r="B131" s="130">
        <v>1.8</v>
      </c>
      <c r="C131" s="131">
        <v>0.0031000000000000003</v>
      </c>
      <c r="D131" s="131">
        <v>0.0625</v>
      </c>
      <c r="E131" s="131" t="s">
        <v>432</v>
      </c>
      <c r="F131" s="16">
        <v>109</v>
      </c>
      <c r="G131" s="16">
        <v>1390</v>
      </c>
    </row>
    <row r="132" spans="1:7" ht="12.75">
      <c r="A132" s="79" t="s">
        <v>355</v>
      </c>
      <c r="B132" s="80">
        <v>1.8</v>
      </c>
      <c r="C132" s="82">
        <v>0.0014</v>
      </c>
      <c r="D132" s="82">
        <v>0.038599999999999995</v>
      </c>
      <c r="E132" s="82" t="s">
        <v>437</v>
      </c>
      <c r="F132" s="80">
        <v>288</v>
      </c>
      <c r="G132" s="80">
        <v>540</v>
      </c>
    </row>
    <row r="133" spans="1:7" ht="12.75">
      <c r="A133" s="132" t="s">
        <v>216</v>
      </c>
      <c r="B133" s="133">
        <v>1.81</v>
      </c>
      <c r="C133" s="134">
        <v>0</v>
      </c>
      <c r="D133" s="134">
        <v>0.0433</v>
      </c>
      <c r="E133" s="133" t="s">
        <v>436</v>
      </c>
      <c r="F133" s="133">
        <v>109</v>
      </c>
      <c r="G133" s="133">
        <v>1050</v>
      </c>
    </row>
    <row r="134" spans="1:7" ht="12.75">
      <c r="A134" s="20" t="s">
        <v>226</v>
      </c>
      <c r="B134" s="16">
        <v>1.81</v>
      </c>
      <c r="C134" s="22">
        <v>0.0013000000000000002</v>
      </c>
      <c r="D134" s="22">
        <v>0.0576</v>
      </c>
      <c r="E134" s="22" t="s">
        <v>432</v>
      </c>
      <c r="F134" s="16">
        <v>129</v>
      </c>
      <c r="G134" s="16">
        <v>1040</v>
      </c>
    </row>
    <row r="135" spans="1:7" ht="12.75">
      <c r="A135" s="69" t="s">
        <v>307</v>
      </c>
      <c r="B135" s="133">
        <v>1.81</v>
      </c>
      <c r="C135" s="134">
        <v>0.002</v>
      </c>
      <c r="D135" s="134">
        <v>0.0454</v>
      </c>
      <c r="E135" s="133" t="s">
        <v>436</v>
      </c>
      <c r="F135" s="133">
        <v>205</v>
      </c>
      <c r="G135" s="133">
        <v>710</v>
      </c>
    </row>
    <row r="136" spans="1:7" ht="12.75">
      <c r="A136" s="69" t="s">
        <v>369</v>
      </c>
      <c r="B136" s="133">
        <v>1.81</v>
      </c>
      <c r="C136" s="134">
        <v>0.0012000000000000001</v>
      </c>
      <c r="D136" s="134">
        <v>0.0446</v>
      </c>
      <c r="E136" s="133" t="s">
        <v>436</v>
      </c>
      <c r="F136" s="133">
        <v>293</v>
      </c>
      <c r="G136" s="133">
        <v>850</v>
      </c>
    </row>
    <row r="137" spans="1:7" ht="12.75">
      <c r="A137" s="88" t="s">
        <v>387</v>
      </c>
      <c r="B137" s="89">
        <v>1.81</v>
      </c>
      <c r="C137" s="103">
        <v>0.0012000000000000001</v>
      </c>
      <c r="D137" s="103">
        <v>0.030899999999999997</v>
      </c>
      <c r="E137" s="89" t="s">
        <v>439</v>
      </c>
      <c r="F137" s="89">
        <v>353</v>
      </c>
      <c r="G137" s="2">
        <v>440</v>
      </c>
    </row>
    <row r="138" spans="1:7" ht="12.75">
      <c r="A138" s="20" t="s">
        <v>223</v>
      </c>
      <c r="B138" s="16">
        <v>1.82</v>
      </c>
      <c r="C138" s="22">
        <v>0.0024000000000000002</v>
      </c>
      <c r="D138" s="22">
        <v>0.0557</v>
      </c>
      <c r="E138" s="22" t="s">
        <v>432</v>
      </c>
      <c r="F138" s="16">
        <v>129</v>
      </c>
      <c r="G138" s="16">
        <v>1220</v>
      </c>
    </row>
    <row r="139" spans="1:7" ht="12.75">
      <c r="A139" s="20" t="s">
        <v>227</v>
      </c>
      <c r="B139" s="16">
        <v>1.82</v>
      </c>
      <c r="C139" s="22">
        <v>0.0019</v>
      </c>
      <c r="D139" s="22">
        <v>0.055099999999999996</v>
      </c>
      <c r="E139" s="22" t="s">
        <v>432</v>
      </c>
      <c r="F139" s="16">
        <v>129</v>
      </c>
      <c r="G139" s="16">
        <v>830</v>
      </c>
    </row>
    <row r="140" spans="1:7" ht="12.75">
      <c r="A140" s="69" t="s">
        <v>233</v>
      </c>
      <c r="B140" s="133">
        <v>1.82</v>
      </c>
      <c r="C140" s="134">
        <v>0.0005</v>
      </c>
      <c r="D140" s="134">
        <v>0.0415</v>
      </c>
      <c r="E140" s="133" t="s">
        <v>436</v>
      </c>
      <c r="F140" s="133">
        <v>142</v>
      </c>
      <c r="G140" s="133">
        <v>1170</v>
      </c>
    </row>
    <row r="141" spans="1:7" ht="12.75">
      <c r="A141" s="69" t="s">
        <v>271</v>
      </c>
      <c r="B141" s="133">
        <v>1.82</v>
      </c>
      <c r="C141" s="134">
        <v>0.0013000000000000002</v>
      </c>
      <c r="D141" s="134">
        <v>0.0424</v>
      </c>
      <c r="E141" s="133" t="s">
        <v>436</v>
      </c>
      <c r="F141" s="133">
        <v>166</v>
      </c>
      <c r="G141" s="133">
        <v>890</v>
      </c>
    </row>
    <row r="142" spans="1:7" ht="12.75">
      <c r="A142" s="90" t="s">
        <v>381</v>
      </c>
      <c r="B142" s="91">
        <v>1.82</v>
      </c>
      <c r="C142" s="93">
        <v>0.0002</v>
      </c>
      <c r="D142" s="93">
        <v>0.053399999999999996</v>
      </c>
      <c r="E142" s="91" t="s">
        <v>438</v>
      </c>
      <c r="F142" s="91">
        <v>290</v>
      </c>
      <c r="G142" s="91">
        <v>430</v>
      </c>
    </row>
    <row r="143" spans="1:7" ht="12.75">
      <c r="A143" s="69" t="s">
        <v>236</v>
      </c>
      <c r="B143" s="133">
        <v>1.83</v>
      </c>
      <c r="C143" s="134">
        <v>0.00030000000000000003</v>
      </c>
      <c r="D143" s="134">
        <v>0.039</v>
      </c>
      <c r="E143" s="133" t="s">
        <v>436</v>
      </c>
      <c r="F143" s="133">
        <v>138</v>
      </c>
      <c r="G143" s="133">
        <v>970</v>
      </c>
    </row>
    <row r="144" spans="1:7" ht="12.75">
      <c r="A144" s="79" t="s">
        <v>279</v>
      </c>
      <c r="B144" s="80">
        <v>1.83</v>
      </c>
      <c r="C144" s="82">
        <v>0.0007</v>
      </c>
      <c r="D144" s="82">
        <v>0.0322</v>
      </c>
      <c r="E144" s="80" t="s">
        <v>437</v>
      </c>
      <c r="F144" s="80">
        <v>171</v>
      </c>
      <c r="G144" s="80">
        <v>930</v>
      </c>
    </row>
    <row r="145" spans="1:7" ht="12.75">
      <c r="A145" s="79" t="s">
        <v>375</v>
      </c>
      <c r="B145" s="80">
        <v>1.83</v>
      </c>
      <c r="C145" s="82">
        <v>0.0012000000000000001</v>
      </c>
      <c r="D145" s="82">
        <v>0.0328</v>
      </c>
      <c r="E145" s="82" t="s">
        <v>437</v>
      </c>
      <c r="F145" s="80">
        <v>290</v>
      </c>
      <c r="G145" s="80">
        <v>610</v>
      </c>
    </row>
    <row r="146" spans="1:7" ht="12.75">
      <c r="A146" s="69" t="s">
        <v>272</v>
      </c>
      <c r="B146" s="133">
        <v>1.84</v>
      </c>
      <c r="C146" s="134">
        <v>0.0014</v>
      </c>
      <c r="D146" s="134">
        <v>0.0378</v>
      </c>
      <c r="E146" s="133" t="s">
        <v>436</v>
      </c>
      <c r="F146" s="133">
        <v>166</v>
      </c>
      <c r="G146" s="133">
        <v>780</v>
      </c>
    </row>
    <row r="147" spans="1:7" ht="12.75">
      <c r="A147" s="20" t="s">
        <v>269</v>
      </c>
      <c r="B147" s="16">
        <v>1.85</v>
      </c>
      <c r="C147" s="22">
        <v>0.0028</v>
      </c>
      <c r="D147" s="22">
        <v>0.047</v>
      </c>
      <c r="E147" s="22" t="s">
        <v>432</v>
      </c>
      <c r="F147" s="16">
        <v>166</v>
      </c>
      <c r="G147" s="16">
        <v>1110</v>
      </c>
    </row>
    <row r="148" spans="1:7" ht="12.75">
      <c r="A148" s="20" t="s">
        <v>274</v>
      </c>
      <c r="B148" s="16">
        <v>1.85</v>
      </c>
      <c r="C148" s="22">
        <v>0.0007</v>
      </c>
      <c r="D148" s="22">
        <v>0.044800000000000006</v>
      </c>
      <c r="E148" s="22" t="s">
        <v>432</v>
      </c>
      <c r="F148" s="16">
        <v>171</v>
      </c>
      <c r="G148" s="16">
        <v>1470</v>
      </c>
    </row>
    <row r="149" spans="1:7" ht="12.75">
      <c r="A149" s="90" t="s">
        <v>377</v>
      </c>
      <c r="B149" s="91">
        <v>1.85</v>
      </c>
      <c r="C149" s="93">
        <v>0.0023</v>
      </c>
      <c r="D149" s="93">
        <v>0.04650000000000001</v>
      </c>
      <c r="E149" s="91" t="s">
        <v>438</v>
      </c>
      <c r="F149" s="91">
        <v>290</v>
      </c>
      <c r="G149" s="91">
        <v>540</v>
      </c>
    </row>
    <row r="150" spans="1:7" ht="12.75">
      <c r="A150" s="129" t="s">
        <v>211</v>
      </c>
      <c r="B150" s="130">
        <v>1.86</v>
      </c>
      <c r="C150" s="131">
        <v>0.0024000000000000002</v>
      </c>
      <c r="D150" s="131">
        <v>0.0435</v>
      </c>
      <c r="E150" s="131" t="s">
        <v>432</v>
      </c>
      <c r="F150" s="16">
        <v>109</v>
      </c>
      <c r="G150" s="16">
        <v>1700</v>
      </c>
    </row>
    <row r="151" spans="1:7" ht="12.75">
      <c r="A151" s="79" t="s">
        <v>240</v>
      </c>
      <c r="B151" s="80">
        <v>1.88</v>
      </c>
      <c r="C151" s="82">
        <v>0.0009000000000000001</v>
      </c>
      <c r="D151" s="82">
        <v>0.0231</v>
      </c>
      <c r="E151" s="80" t="s">
        <v>437</v>
      </c>
      <c r="F151" s="80">
        <v>140</v>
      </c>
      <c r="G151" s="80">
        <v>840</v>
      </c>
    </row>
    <row r="152" spans="1:7" ht="12.75">
      <c r="A152" s="69" t="s">
        <v>277</v>
      </c>
      <c r="B152" s="133">
        <v>1.9</v>
      </c>
      <c r="C152" s="134">
        <v>0.0008</v>
      </c>
      <c r="D152" s="134">
        <v>0.023399999999999997</v>
      </c>
      <c r="E152" s="133" t="s">
        <v>436</v>
      </c>
      <c r="F152" s="133">
        <v>171</v>
      </c>
      <c r="G152" s="133">
        <v>1130</v>
      </c>
    </row>
    <row r="153" spans="1:7" ht="12.75">
      <c r="A153" s="69" t="s">
        <v>229</v>
      </c>
      <c r="B153" s="133">
        <v>1.96</v>
      </c>
      <c r="C153" s="134">
        <v>0.0015</v>
      </c>
      <c r="D153" s="134">
        <v>0.0105</v>
      </c>
      <c r="E153" s="133" t="s">
        <v>436</v>
      </c>
      <c r="F153" s="133">
        <v>139</v>
      </c>
      <c r="G153" s="133">
        <v>1450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0">
      <selection activeCell="G36" sqref="G36"/>
    </sheetView>
  </sheetViews>
  <sheetFormatPr defaultColWidth="12.57421875" defaultRowHeight="12.75"/>
  <cols>
    <col min="1" max="1" width="15.00390625" style="0" customWidth="1"/>
    <col min="2" max="16384" width="11.57421875" style="0" customWidth="1"/>
  </cols>
  <sheetData>
    <row r="1" spans="1:5" ht="12.75">
      <c r="A1" t="s">
        <v>0</v>
      </c>
      <c r="B1" s="6" t="s">
        <v>570</v>
      </c>
      <c r="C1" s="6" t="s">
        <v>571</v>
      </c>
      <c r="D1" s="6" t="s">
        <v>572</v>
      </c>
      <c r="E1" s="6" t="s">
        <v>571</v>
      </c>
    </row>
    <row r="2" spans="1:5" ht="12.75">
      <c r="A2" t="s">
        <v>400</v>
      </c>
      <c r="B2" s="19">
        <f>(37/28.5)^1.7</f>
        <v>1.5584995058045576</v>
      </c>
      <c r="C2" s="19">
        <f>35*B2</f>
        <v>54.54748270315952</v>
      </c>
      <c r="D2" s="19">
        <f>(29.6/28.5)^1.7</f>
        <v>1.0664970212322564</v>
      </c>
      <c r="E2" s="19">
        <f>35*D2</f>
        <v>37.327395743128974</v>
      </c>
    </row>
    <row r="3" spans="1:4" ht="12.75">
      <c r="A3" t="s">
        <v>1</v>
      </c>
      <c r="B3" s="6" t="s">
        <v>573</v>
      </c>
      <c r="C3" s="6" t="s">
        <v>574</v>
      </c>
      <c r="D3" s="10" t="s">
        <v>575</v>
      </c>
    </row>
    <row r="4" spans="1:5" ht="12.75">
      <c r="A4" t="s">
        <v>576</v>
      </c>
      <c r="B4" s="6">
        <v>53.62</v>
      </c>
      <c r="C4" s="6">
        <v>37</v>
      </c>
      <c r="D4" s="6">
        <v>34.2</v>
      </c>
      <c r="E4" t="s">
        <v>577</v>
      </c>
    </row>
    <row r="5" spans="1:4" ht="12.75">
      <c r="A5" t="s">
        <v>576</v>
      </c>
      <c r="B5" s="6">
        <v>34.79</v>
      </c>
      <c r="C5" s="6">
        <v>29.6</v>
      </c>
      <c r="D5" s="6">
        <v>34.2</v>
      </c>
    </row>
    <row r="6" spans="1:4" ht="12.75">
      <c r="A6" t="s">
        <v>578</v>
      </c>
      <c r="B6" s="6">
        <v>38.1</v>
      </c>
      <c r="C6" s="6">
        <v>29.6</v>
      </c>
      <c r="D6" s="6">
        <v>34.9</v>
      </c>
    </row>
    <row r="7" spans="1:4" ht="12.75">
      <c r="A7" t="s">
        <v>579</v>
      </c>
      <c r="B7" s="6">
        <v>42.1</v>
      </c>
      <c r="C7" s="6">
        <v>29.6</v>
      </c>
      <c r="D7" s="6">
        <v>37.7</v>
      </c>
    </row>
    <row r="8" spans="1:4" ht="12.75">
      <c r="A8" t="s">
        <v>580</v>
      </c>
      <c r="B8" s="6">
        <v>40.91</v>
      </c>
      <c r="C8" s="6">
        <v>29.6</v>
      </c>
      <c r="D8" s="6">
        <v>38.6</v>
      </c>
    </row>
    <row r="9" spans="1:4" ht="12.75">
      <c r="A9" t="s">
        <v>581</v>
      </c>
      <c r="B9" s="6">
        <v>40.74</v>
      </c>
      <c r="C9" s="6">
        <v>29.6</v>
      </c>
      <c r="D9" s="6">
        <v>38.7</v>
      </c>
    </row>
    <row r="11" spans="1:3" ht="12.75">
      <c r="A11" t="s">
        <v>0</v>
      </c>
      <c r="B11" s="6" t="s">
        <v>572</v>
      </c>
      <c r="C11" s="6" t="s">
        <v>571</v>
      </c>
    </row>
    <row r="12" spans="1:3" ht="12.75">
      <c r="A12" t="s">
        <v>396</v>
      </c>
      <c r="B12" s="19">
        <f>(29.6/28.5)^1.7</f>
        <v>1.0664970212322564</v>
      </c>
      <c r="C12" s="19">
        <f>35*B12</f>
        <v>37.327395743128974</v>
      </c>
    </row>
    <row r="13" spans="1:4" ht="12.75">
      <c r="A13" t="s">
        <v>1</v>
      </c>
      <c r="B13" s="6" t="s">
        <v>573</v>
      </c>
      <c r="C13" s="6" t="s">
        <v>574</v>
      </c>
      <c r="D13" s="10" t="s">
        <v>575</v>
      </c>
    </row>
    <row r="14" spans="1:5" ht="12.75">
      <c r="A14" t="s">
        <v>582</v>
      </c>
      <c r="B14" s="6">
        <v>40.26</v>
      </c>
      <c r="C14" s="6">
        <v>29.6</v>
      </c>
      <c r="D14" s="6">
        <v>40.9</v>
      </c>
      <c r="E14" t="s">
        <v>583</v>
      </c>
    </row>
    <row r="15" spans="1:4" ht="12.75">
      <c r="A15" t="s">
        <v>584</v>
      </c>
      <c r="B15" s="6">
        <v>37.73</v>
      </c>
      <c r="C15" s="6">
        <v>29.6</v>
      </c>
      <c r="D15" s="6">
        <v>36.4</v>
      </c>
    </row>
    <row r="16" spans="1:5" ht="12.75">
      <c r="A16" t="s">
        <v>585</v>
      </c>
      <c r="B16" s="6">
        <v>44.99</v>
      </c>
      <c r="C16" s="6">
        <v>29.6</v>
      </c>
      <c r="D16" s="6">
        <v>38.2</v>
      </c>
      <c r="E16" t="s">
        <v>583</v>
      </c>
    </row>
    <row r="17" spans="2:4" ht="12.75">
      <c r="B17" s="6"/>
      <c r="C17" s="6"/>
      <c r="D17" s="6"/>
    </row>
    <row r="18" spans="1:3" ht="12.75">
      <c r="A18" t="s">
        <v>0</v>
      </c>
      <c r="B18" s="6" t="s">
        <v>572</v>
      </c>
      <c r="C18" s="6" t="s">
        <v>571</v>
      </c>
    </row>
    <row r="19" spans="1:3" ht="12.75">
      <c r="A19" t="s">
        <v>392</v>
      </c>
      <c r="B19" s="19">
        <f>(29.6/28.5)^1.7</f>
        <v>1.0664970212322564</v>
      </c>
      <c r="C19" s="19">
        <f>35*B19</f>
        <v>37.327395743128974</v>
      </c>
    </row>
    <row r="20" spans="1:4" ht="12.75">
      <c r="A20" t="s">
        <v>1</v>
      </c>
      <c r="B20" s="6" t="s">
        <v>573</v>
      </c>
      <c r="C20" s="6" t="s">
        <v>574</v>
      </c>
      <c r="D20" s="10" t="s">
        <v>575</v>
      </c>
    </row>
    <row r="21" spans="1:4" ht="12.75">
      <c r="A21" t="s">
        <v>586</v>
      </c>
      <c r="B21" s="6">
        <v>38.66</v>
      </c>
      <c r="C21" s="6">
        <v>29.6</v>
      </c>
      <c r="D21" s="6">
        <v>36.7</v>
      </c>
    </row>
    <row r="22" spans="1:4" ht="12.75">
      <c r="A22" t="s">
        <v>587</v>
      </c>
      <c r="B22" s="6">
        <v>38.52</v>
      </c>
      <c r="C22" s="6">
        <v>29.6</v>
      </c>
      <c r="D22" s="6">
        <v>35.7</v>
      </c>
    </row>
    <row r="24" spans="1:3" ht="12.75">
      <c r="A24" t="s">
        <v>0</v>
      </c>
      <c r="B24" s="6" t="s">
        <v>588</v>
      </c>
      <c r="C24" s="6" t="s">
        <v>571</v>
      </c>
    </row>
    <row r="25" spans="1:3" ht="12.75">
      <c r="A25" t="s">
        <v>389</v>
      </c>
      <c r="B25" s="19">
        <f>(28.5/22.2)^1.7</f>
        <v>1.529101116613239</v>
      </c>
      <c r="C25" s="19">
        <f>35/B25</f>
        <v>22.889264561862635</v>
      </c>
    </row>
    <row r="26" spans="1:4" ht="12.75">
      <c r="A26" t="s">
        <v>1</v>
      </c>
      <c r="B26" s="6" t="s">
        <v>573</v>
      </c>
      <c r="C26" s="6" t="s">
        <v>574</v>
      </c>
      <c r="D26" s="10" t="s">
        <v>575</v>
      </c>
    </row>
    <row r="27" spans="1:4" ht="12.75">
      <c r="A27" t="s">
        <v>589</v>
      </c>
      <c r="B27" s="6"/>
      <c r="C27" s="6"/>
      <c r="D27" s="6"/>
    </row>
    <row r="28" spans="2:4" ht="12.75">
      <c r="B28" s="6"/>
      <c r="C28" s="6"/>
      <c r="D28" s="6"/>
    </row>
    <row r="29" spans="1:3" ht="12.75">
      <c r="A29" t="s">
        <v>0</v>
      </c>
      <c r="B29" s="6" t="s">
        <v>572</v>
      </c>
      <c r="C29" s="6" t="s">
        <v>571</v>
      </c>
    </row>
    <row r="30" spans="1:3" ht="12.75">
      <c r="A30" t="s">
        <v>400</v>
      </c>
      <c r="B30" s="19">
        <f>(29.6/25.65)^1.7</f>
        <v>1.2756965491728856</v>
      </c>
      <c r="C30" s="19">
        <f>35*B30</f>
        <v>44.64937922105099</v>
      </c>
    </row>
    <row r="31" spans="1:2" ht="12.75">
      <c r="A31" t="s">
        <v>1</v>
      </c>
      <c r="B31" s="10" t="s">
        <v>590</v>
      </c>
    </row>
    <row r="32" spans="1:5" ht="12.75">
      <c r="A32" t="s">
        <v>576</v>
      </c>
      <c r="B32" s="6">
        <v>53.62</v>
      </c>
      <c r="C32" s="6">
        <v>37</v>
      </c>
      <c r="D32" s="6">
        <v>34.2</v>
      </c>
      <c r="E32" t="s">
        <v>577</v>
      </c>
    </row>
    <row r="33" spans="1:4" ht="12.75">
      <c r="A33" t="s">
        <v>576</v>
      </c>
      <c r="B33" s="6">
        <v>34.79</v>
      </c>
      <c r="C33" s="6">
        <v>29.6</v>
      </c>
      <c r="D33" s="6">
        <v>34.2</v>
      </c>
    </row>
    <row r="34" spans="1:4" ht="12.75">
      <c r="A34" t="s">
        <v>578</v>
      </c>
      <c r="B34" s="6">
        <v>38.1</v>
      </c>
      <c r="C34" s="6">
        <v>29.6</v>
      </c>
      <c r="D34" s="6">
        <v>34.9</v>
      </c>
    </row>
    <row r="35" spans="1:4" ht="12.75">
      <c r="A35" t="s">
        <v>579</v>
      </c>
      <c r="B35" s="6">
        <v>42.1</v>
      </c>
      <c r="C35" s="6">
        <v>29.6</v>
      </c>
      <c r="D35" s="6">
        <v>37.7</v>
      </c>
    </row>
    <row r="36" spans="1:4" ht="12.75">
      <c r="A36" t="s">
        <v>580</v>
      </c>
      <c r="B36" s="6">
        <v>40.91</v>
      </c>
      <c r="C36" s="6">
        <v>29.6</v>
      </c>
      <c r="D36" s="6">
        <v>38.6</v>
      </c>
    </row>
    <row r="37" spans="1:4" ht="12.75">
      <c r="A37" t="s">
        <v>581</v>
      </c>
      <c r="B37" s="6">
        <v>40.74</v>
      </c>
      <c r="C37" s="6">
        <v>29.6</v>
      </c>
      <c r="D37" s="6">
        <v>38.7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2015-08-28T12:35:51Z</dcterms:created>
  <dcterms:modified xsi:type="dcterms:W3CDTF">2015-09-24T13:37:33Z</dcterms:modified>
  <cp:category/>
  <cp:version/>
  <cp:contentType/>
  <cp:contentStatus/>
  <cp:revision>94</cp:revision>
</cp:coreProperties>
</file>